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carter\Desktop\temp-files\"/>
    </mc:Choice>
  </mc:AlternateContent>
  <bookViews>
    <workbookView xWindow="0" yWindow="0" windowWidth="14370" windowHeight="7035" activeTab="2"/>
  </bookViews>
  <sheets>
    <sheet name="SWFWMD" sheetId="3" r:id="rId1"/>
    <sheet name="SJRWMD" sheetId="2" r:id="rId2"/>
    <sheet name="SFWMD" sheetId="1" r:id="rId3"/>
  </sheets>
  <definedNames>
    <definedName name="_xlnm._FilterDatabase" localSheetId="2" hidden="1">SFWMD!$A$1:$BA$1</definedName>
    <definedName name="_xlnm._FilterDatabase" localSheetId="1" hidden="1">SJRWMD!$A$1:$BA$116</definedName>
  </definedNames>
  <calcPr calcId="171027"/>
</workbook>
</file>

<file path=xl/calcChain.xml><?xml version="1.0" encoding="utf-8"?>
<calcChain xmlns="http://schemas.openxmlformats.org/spreadsheetml/2006/main">
  <c r="N343" i="3" l="1"/>
  <c r="M343" i="3"/>
  <c r="K343" i="3"/>
  <c r="J343" i="3"/>
  <c r="H343" i="3"/>
  <c r="N342" i="3"/>
  <c r="M342" i="3"/>
  <c r="K342" i="3"/>
  <c r="J342" i="3"/>
  <c r="H342" i="3"/>
  <c r="N341" i="3"/>
  <c r="M341" i="3"/>
  <c r="K341" i="3"/>
  <c r="J341" i="3"/>
  <c r="H341" i="3"/>
  <c r="N340" i="3"/>
  <c r="M340" i="3"/>
  <c r="K340" i="3"/>
  <c r="J340" i="3"/>
  <c r="H340" i="3"/>
  <c r="N339" i="3"/>
  <c r="M339" i="3"/>
  <c r="K339" i="3"/>
  <c r="J339" i="3"/>
  <c r="H339" i="3"/>
  <c r="N338" i="3"/>
  <c r="M338" i="3"/>
  <c r="K338" i="3"/>
  <c r="J338" i="3"/>
  <c r="H338" i="3"/>
  <c r="N337" i="3"/>
  <c r="M337" i="3"/>
  <c r="K337" i="3"/>
  <c r="J337" i="3"/>
  <c r="H337" i="3"/>
  <c r="N336" i="3"/>
  <c r="M336" i="3"/>
  <c r="K336" i="3"/>
  <c r="J336" i="3"/>
  <c r="H336" i="3"/>
  <c r="N335" i="3"/>
  <c r="M335" i="3"/>
  <c r="K335" i="3"/>
  <c r="J335" i="3"/>
  <c r="H335" i="3"/>
  <c r="N334" i="3"/>
  <c r="N333" i="3"/>
  <c r="M333" i="3"/>
  <c r="K333" i="3"/>
  <c r="J333" i="3"/>
  <c r="H333" i="3"/>
  <c r="M332" i="3"/>
  <c r="K332" i="3"/>
  <c r="J332" i="3"/>
  <c r="H332" i="3"/>
  <c r="N331" i="3"/>
  <c r="M331" i="3"/>
  <c r="K331" i="3"/>
  <c r="J331" i="3"/>
  <c r="H331" i="3"/>
  <c r="M330" i="3"/>
  <c r="K330" i="3"/>
  <c r="J330" i="3"/>
  <c r="H330" i="3"/>
  <c r="M329" i="3"/>
  <c r="K329" i="3"/>
  <c r="J329" i="3"/>
  <c r="H329" i="3"/>
  <c r="N328" i="3"/>
  <c r="M328" i="3"/>
  <c r="K328" i="3"/>
  <c r="J328" i="3"/>
  <c r="H328" i="3"/>
  <c r="N327" i="3"/>
  <c r="M327" i="3"/>
  <c r="K327" i="3"/>
  <c r="J327" i="3"/>
  <c r="H327" i="3"/>
  <c r="N326" i="3"/>
  <c r="M326" i="3"/>
  <c r="K326" i="3"/>
  <c r="J326" i="3"/>
  <c r="H326" i="3"/>
  <c r="N325" i="3"/>
  <c r="M325" i="3"/>
  <c r="K325" i="3"/>
  <c r="J325" i="3"/>
  <c r="H325" i="3"/>
  <c r="N324" i="3"/>
  <c r="M324" i="3"/>
  <c r="K324" i="3"/>
  <c r="J324" i="3"/>
  <c r="H324" i="3"/>
  <c r="N323" i="3"/>
  <c r="M323" i="3"/>
  <c r="K323" i="3"/>
  <c r="J323" i="3"/>
  <c r="H323" i="3"/>
  <c r="N322" i="3"/>
  <c r="M322" i="3"/>
  <c r="K322" i="3"/>
  <c r="J322" i="3"/>
  <c r="H322" i="3"/>
  <c r="N321" i="3"/>
  <c r="M321" i="3"/>
  <c r="K321" i="3"/>
  <c r="J321" i="3"/>
  <c r="H321" i="3"/>
  <c r="N320" i="3"/>
  <c r="M320" i="3"/>
  <c r="K320" i="3"/>
  <c r="J320" i="3"/>
  <c r="H320" i="3"/>
  <c r="N319" i="3"/>
  <c r="M319" i="3"/>
  <c r="K319" i="3"/>
  <c r="J319" i="3"/>
  <c r="H319" i="3"/>
  <c r="N318" i="3"/>
  <c r="M318" i="3"/>
  <c r="K318" i="3"/>
  <c r="J318" i="3"/>
  <c r="H318" i="3"/>
  <c r="AW317" i="3"/>
  <c r="AV317" i="3"/>
  <c r="AT317" i="3"/>
  <c r="AS317" i="3"/>
  <c r="AQ317" i="3"/>
  <c r="AP317" i="3"/>
  <c r="AO317" i="3"/>
  <c r="AM317" i="3"/>
  <c r="AL317" i="3"/>
  <c r="AJ317" i="3"/>
  <c r="AI317" i="3"/>
  <c r="AH317" i="3"/>
  <c r="AF317" i="3"/>
  <c r="AE317" i="3"/>
  <c r="AC317" i="3"/>
  <c r="AB317" i="3"/>
  <c r="AA317" i="3"/>
  <c r="Y317" i="3"/>
  <c r="X317" i="3"/>
  <c r="V317" i="3"/>
  <c r="U317" i="3"/>
  <c r="T317" i="3"/>
  <c r="R317" i="3"/>
  <c r="Q317" i="3"/>
  <c r="O317" i="3"/>
  <c r="M317" i="3"/>
  <c r="K317" i="3"/>
  <c r="J317" i="3"/>
  <c r="H317" i="3"/>
  <c r="AW316" i="3"/>
  <c r="AV316" i="3"/>
  <c r="AT316" i="3"/>
  <c r="AS316" i="3"/>
  <c r="AQ316" i="3"/>
  <c r="AP316" i="3"/>
  <c r="AO316" i="3"/>
  <c r="AM316" i="3"/>
  <c r="AL316" i="3"/>
  <c r="AJ316" i="3"/>
  <c r="AI316" i="3"/>
  <c r="AH316" i="3"/>
  <c r="AF316" i="3"/>
  <c r="AB316" i="3"/>
  <c r="AA316" i="3"/>
  <c r="Y316" i="3"/>
  <c r="X316" i="3"/>
  <c r="V316" i="3"/>
  <c r="U316" i="3"/>
  <c r="T316" i="3"/>
  <c r="R316" i="3"/>
  <c r="Q316" i="3"/>
  <c r="O316" i="3"/>
  <c r="M316" i="3"/>
  <c r="K316" i="3"/>
  <c r="J316" i="3"/>
  <c r="H316" i="3"/>
  <c r="N315" i="3"/>
  <c r="M315" i="3"/>
  <c r="K315" i="3"/>
  <c r="J315" i="3"/>
  <c r="H315" i="3"/>
  <c r="N314" i="3"/>
  <c r="M314" i="3"/>
  <c r="K314" i="3"/>
  <c r="J314" i="3"/>
  <c r="H314" i="3"/>
  <c r="N313" i="3"/>
  <c r="M313" i="3"/>
  <c r="K313" i="3"/>
  <c r="J313" i="3"/>
  <c r="H313" i="3"/>
  <c r="N312" i="3"/>
  <c r="M312" i="3"/>
  <c r="K312" i="3"/>
  <c r="H312" i="3"/>
  <c r="N311" i="3"/>
  <c r="M311" i="3"/>
  <c r="K311" i="3"/>
  <c r="J311" i="3"/>
  <c r="H311" i="3"/>
  <c r="N310" i="3"/>
  <c r="M310" i="3"/>
  <c r="K310" i="3"/>
  <c r="J310" i="3"/>
  <c r="H310" i="3"/>
  <c r="N309" i="3"/>
  <c r="M309" i="3"/>
  <c r="K309" i="3"/>
  <c r="J309" i="3"/>
  <c r="H309" i="3"/>
  <c r="N308" i="3"/>
  <c r="M308" i="3"/>
  <c r="K308" i="3"/>
  <c r="J308" i="3"/>
  <c r="H308" i="3"/>
  <c r="N307" i="3"/>
  <c r="M307" i="3"/>
  <c r="K307" i="3"/>
  <c r="J307" i="3"/>
  <c r="H307" i="3"/>
  <c r="N306" i="3"/>
  <c r="M306" i="3"/>
  <c r="K306" i="3"/>
  <c r="J306" i="3"/>
  <c r="H306" i="3"/>
  <c r="N305" i="3"/>
  <c r="M305" i="3"/>
  <c r="K305" i="3"/>
  <c r="J305" i="3"/>
  <c r="H305" i="3"/>
  <c r="N304" i="3"/>
  <c r="M304" i="3"/>
  <c r="K304" i="3"/>
  <c r="J304" i="3"/>
  <c r="H304" i="3"/>
  <c r="N303" i="3"/>
  <c r="M303" i="3"/>
  <c r="K303" i="3"/>
  <c r="J303" i="3"/>
  <c r="H303" i="3"/>
  <c r="N302" i="3"/>
  <c r="M302" i="3"/>
  <c r="K302" i="3"/>
  <c r="J302" i="3"/>
  <c r="H302" i="3"/>
  <c r="N301" i="3"/>
  <c r="M301" i="3"/>
  <c r="K301" i="3"/>
  <c r="J301" i="3"/>
  <c r="H301" i="3"/>
  <c r="N300" i="3"/>
  <c r="M300" i="3"/>
  <c r="K300" i="3"/>
  <c r="J300" i="3"/>
  <c r="H300" i="3"/>
  <c r="N299" i="3"/>
  <c r="M299" i="3"/>
  <c r="K299" i="3"/>
  <c r="J299" i="3"/>
  <c r="H299" i="3"/>
  <c r="N298" i="3"/>
  <c r="M298" i="3"/>
  <c r="K298" i="3"/>
  <c r="J298" i="3"/>
  <c r="H298" i="3"/>
  <c r="N297" i="3"/>
  <c r="M297" i="3"/>
  <c r="K297" i="3"/>
  <c r="J297" i="3"/>
  <c r="H297" i="3"/>
  <c r="N296" i="3"/>
  <c r="M296" i="3"/>
  <c r="K296" i="3"/>
  <c r="J296" i="3"/>
  <c r="H296" i="3"/>
  <c r="N295" i="3"/>
  <c r="M295" i="3"/>
  <c r="K295" i="3"/>
  <c r="J295" i="3"/>
  <c r="H295" i="3"/>
  <c r="N294" i="3"/>
  <c r="M294" i="3"/>
  <c r="K294" i="3"/>
  <c r="J294" i="3"/>
  <c r="H294" i="3"/>
  <c r="N293" i="3"/>
  <c r="M293" i="3"/>
  <c r="K293" i="3"/>
  <c r="J293" i="3"/>
  <c r="H293" i="3"/>
  <c r="N292" i="3"/>
  <c r="M292" i="3"/>
  <c r="K292" i="3"/>
  <c r="J292" i="3"/>
  <c r="H292" i="3"/>
  <c r="N291" i="3"/>
  <c r="M291" i="3"/>
  <c r="K291" i="3"/>
  <c r="J291" i="3"/>
  <c r="H291" i="3"/>
  <c r="N290" i="3"/>
  <c r="M290" i="3"/>
  <c r="K290" i="3"/>
  <c r="J290" i="3"/>
  <c r="H290" i="3"/>
  <c r="N289" i="3"/>
  <c r="M289" i="3"/>
  <c r="K289" i="3"/>
  <c r="J289" i="3"/>
  <c r="H289" i="3"/>
  <c r="N288" i="3"/>
  <c r="M288" i="3"/>
  <c r="K288" i="3"/>
  <c r="J288" i="3"/>
  <c r="H288" i="3"/>
  <c r="N287" i="3"/>
  <c r="M287" i="3"/>
  <c r="K287" i="3"/>
  <c r="J287" i="3"/>
  <c r="H287" i="3"/>
  <c r="N286" i="3"/>
  <c r="M286" i="3"/>
  <c r="K286" i="3"/>
  <c r="J286" i="3"/>
  <c r="H286" i="3"/>
  <c r="N285" i="3"/>
  <c r="M285" i="3"/>
  <c r="K285" i="3"/>
  <c r="J285" i="3"/>
  <c r="H285" i="3"/>
  <c r="N284" i="3"/>
  <c r="M284" i="3"/>
  <c r="K284" i="3"/>
  <c r="J284" i="3"/>
  <c r="H284" i="3"/>
  <c r="N283" i="3"/>
  <c r="M283" i="3"/>
  <c r="K283" i="3"/>
  <c r="J283" i="3"/>
  <c r="H283" i="3"/>
  <c r="N282" i="3"/>
  <c r="M282" i="3"/>
  <c r="K282" i="3"/>
  <c r="J282" i="3"/>
  <c r="H282" i="3"/>
  <c r="N281" i="3"/>
  <c r="M281" i="3"/>
  <c r="K281" i="3"/>
  <c r="J281" i="3"/>
  <c r="H281" i="3"/>
  <c r="N280" i="3"/>
  <c r="M280" i="3"/>
  <c r="K280" i="3"/>
  <c r="J280" i="3"/>
  <c r="H280" i="3"/>
  <c r="N279" i="3"/>
  <c r="M279" i="3"/>
  <c r="N278" i="3"/>
  <c r="M278" i="3"/>
  <c r="K278" i="3"/>
  <c r="J278" i="3"/>
  <c r="H278" i="3"/>
  <c r="N277" i="3"/>
  <c r="M277" i="3"/>
  <c r="K277" i="3"/>
  <c r="J277" i="3"/>
  <c r="H277" i="3"/>
  <c r="N276" i="3"/>
  <c r="M276" i="3"/>
  <c r="K276" i="3"/>
  <c r="H276" i="3"/>
  <c r="N275" i="3"/>
  <c r="M275" i="3"/>
  <c r="K275" i="3"/>
  <c r="J275" i="3"/>
  <c r="H275" i="3"/>
  <c r="N274" i="3"/>
  <c r="M274" i="3"/>
  <c r="K274" i="3"/>
  <c r="J274" i="3"/>
  <c r="H274" i="3"/>
  <c r="N273" i="3"/>
  <c r="M273" i="3"/>
  <c r="K273" i="3"/>
  <c r="J273" i="3"/>
  <c r="H273" i="3"/>
  <c r="N272" i="3"/>
  <c r="M272" i="3"/>
  <c r="K272" i="3"/>
  <c r="J272" i="3"/>
  <c r="H272" i="3"/>
  <c r="N271" i="3"/>
  <c r="M271" i="3"/>
  <c r="K271" i="3"/>
  <c r="J271" i="3"/>
  <c r="H271" i="3"/>
  <c r="N270" i="3"/>
  <c r="M270" i="3"/>
  <c r="K270" i="3"/>
  <c r="J270" i="3"/>
  <c r="H270" i="3"/>
  <c r="N269" i="3"/>
  <c r="M269" i="3"/>
  <c r="K269" i="3"/>
  <c r="J269" i="3"/>
  <c r="H269" i="3"/>
  <c r="N268" i="3"/>
  <c r="M268" i="3"/>
  <c r="K268" i="3"/>
  <c r="J268" i="3"/>
  <c r="H268" i="3"/>
  <c r="N267" i="3"/>
  <c r="M267" i="3"/>
  <c r="K267" i="3"/>
  <c r="J267" i="3"/>
  <c r="H267" i="3"/>
  <c r="N266" i="3"/>
  <c r="M266" i="3"/>
  <c r="K266" i="3"/>
  <c r="J266" i="3"/>
  <c r="H266" i="3"/>
  <c r="N265" i="3"/>
  <c r="M265" i="3"/>
  <c r="K265" i="3"/>
  <c r="J265" i="3"/>
  <c r="H265" i="3"/>
  <c r="N264" i="3"/>
  <c r="M264" i="3"/>
  <c r="K264" i="3"/>
  <c r="J264" i="3"/>
  <c r="H264" i="3"/>
  <c r="N263" i="3"/>
  <c r="M263" i="3"/>
  <c r="K263" i="3"/>
  <c r="J263" i="3"/>
  <c r="H263" i="3"/>
  <c r="N262" i="3"/>
  <c r="M262" i="3"/>
  <c r="K262" i="3"/>
  <c r="J262" i="3"/>
  <c r="H262" i="3"/>
  <c r="N261" i="3"/>
  <c r="M261" i="3"/>
  <c r="K261" i="3"/>
  <c r="J261" i="3"/>
  <c r="H261" i="3"/>
  <c r="N260" i="3"/>
  <c r="M260" i="3"/>
  <c r="K260" i="3"/>
  <c r="J260" i="3"/>
  <c r="H260" i="3"/>
  <c r="N259" i="3"/>
  <c r="M259" i="3"/>
  <c r="K259" i="3"/>
  <c r="J259" i="3"/>
  <c r="H259" i="3"/>
  <c r="N258" i="3"/>
  <c r="M258" i="3"/>
  <c r="K258" i="3"/>
  <c r="J258" i="3"/>
  <c r="H258" i="3"/>
  <c r="N257" i="3"/>
  <c r="M257" i="3"/>
  <c r="K257" i="3"/>
  <c r="J257" i="3"/>
  <c r="H257" i="3"/>
  <c r="N256" i="3"/>
  <c r="M256" i="3"/>
  <c r="K256" i="3"/>
  <c r="J256" i="3"/>
  <c r="H256" i="3"/>
  <c r="N255" i="3"/>
  <c r="M255" i="3"/>
  <c r="K255" i="3"/>
  <c r="J255" i="3"/>
  <c r="H255" i="3"/>
  <c r="N254" i="3"/>
  <c r="M254" i="3"/>
  <c r="K254" i="3"/>
  <c r="J254" i="3"/>
  <c r="H254" i="3"/>
  <c r="N253" i="3"/>
  <c r="M253" i="3"/>
  <c r="K253" i="3"/>
  <c r="J253" i="3"/>
  <c r="H253" i="3"/>
  <c r="N252" i="3"/>
  <c r="M252" i="3"/>
  <c r="K252" i="3"/>
  <c r="J252" i="3"/>
  <c r="H252" i="3"/>
  <c r="N251" i="3"/>
  <c r="M251" i="3"/>
  <c r="K251" i="3"/>
  <c r="J251" i="3"/>
  <c r="H251" i="3"/>
  <c r="N250" i="3"/>
  <c r="M250" i="3"/>
  <c r="K250" i="3"/>
  <c r="J250" i="3"/>
  <c r="H250" i="3"/>
  <c r="N249" i="3"/>
  <c r="M249" i="3"/>
  <c r="K249" i="3"/>
  <c r="J249" i="3"/>
  <c r="H249" i="3"/>
  <c r="N248" i="3"/>
  <c r="M248" i="3"/>
  <c r="K248" i="3"/>
  <c r="J248" i="3"/>
  <c r="H248" i="3"/>
  <c r="N247" i="3"/>
  <c r="M247" i="3"/>
  <c r="K247" i="3"/>
  <c r="J247" i="3"/>
  <c r="H247" i="3"/>
  <c r="N246" i="3"/>
  <c r="M246" i="3"/>
  <c r="K246" i="3"/>
  <c r="J246" i="3"/>
  <c r="H246" i="3"/>
  <c r="N245" i="3"/>
  <c r="M245" i="3"/>
  <c r="K245" i="3"/>
  <c r="J245" i="3"/>
  <c r="H245" i="3"/>
  <c r="N244" i="3"/>
  <c r="M244" i="3"/>
  <c r="K244" i="3"/>
  <c r="J244" i="3"/>
  <c r="H244" i="3"/>
  <c r="N243" i="3"/>
  <c r="M243" i="3"/>
  <c r="K243" i="3"/>
  <c r="J243" i="3"/>
  <c r="H243" i="3"/>
  <c r="N242" i="3"/>
  <c r="M242" i="3"/>
  <c r="K242" i="3"/>
  <c r="J242" i="3"/>
  <c r="H242" i="3"/>
  <c r="N241" i="3"/>
  <c r="M241" i="3"/>
  <c r="J241" i="3"/>
  <c r="N240" i="3"/>
  <c r="M240" i="3"/>
  <c r="K240" i="3"/>
  <c r="J240" i="3"/>
  <c r="H240" i="3"/>
  <c r="N239" i="3"/>
  <c r="M239" i="3"/>
  <c r="K239" i="3"/>
  <c r="J239" i="3"/>
  <c r="H239" i="3"/>
  <c r="N238" i="3"/>
  <c r="M238" i="3"/>
  <c r="K238" i="3"/>
  <c r="J238" i="3"/>
  <c r="H238" i="3"/>
  <c r="N237" i="3"/>
  <c r="M237" i="3"/>
  <c r="K237" i="3"/>
  <c r="J237" i="3"/>
  <c r="H237" i="3"/>
  <c r="N236" i="3"/>
  <c r="M236" i="3"/>
  <c r="K236" i="3"/>
  <c r="J236" i="3"/>
  <c r="H236" i="3"/>
  <c r="N235" i="3"/>
  <c r="M235" i="3"/>
  <c r="J235" i="3"/>
  <c r="H235" i="3"/>
  <c r="N234" i="3"/>
  <c r="M234" i="3"/>
  <c r="K234" i="3"/>
  <c r="J234" i="3"/>
  <c r="H234" i="3"/>
  <c r="N233" i="3"/>
  <c r="M233" i="3"/>
  <c r="K233" i="3"/>
  <c r="J233" i="3"/>
  <c r="H233" i="3"/>
  <c r="N232" i="3"/>
  <c r="M232" i="3"/>
  <c r="K232" i="3"/>
  <c r="J232" i="3"/>
  <c r="H232" i="3"/>
  <c r="N230" i="3"/>
  <c r="M230" i="3"/>
  <c r="K230" i="3"/>
  <c r="J230" i="3"/>
  <c r="H230" i="3"/>
  <c r="N229" i="3"/>
  <c r="M229" i="3"/>
  <c r="K229" i="3"/>
  <c r="J229" i="3"/>
  <c r="H229" i="3"/>
  <c r="N228" i="3"/>
  <c r="M228" i="3"/>
  <c r="K228" i="3"/>
  <c r="J228" i="3"/>
  <c r="H228" i="3"/>
  <c r="N227" i="3"/>
  <c r="M227" i="3"/>
  <c r="K227" i="3"/>
  <c r="J227" i="3"/>
  <c r="H227" i="3"/>
  <c r="N226" i="3"/>
  <c r="M226" i="3"/>
  <c r="K226" i="3"/>
  <c r="J226" i="3"/>
  <c r="H226" i="3"/>
  <c r="N225" i="3"/>
  <c r="M225" i="3"/>
  <c r="K225" i="3"/>
  <c r="J225" i="3"/>
  <c r="H225" i="3"/>
  <c r="N224" i="3"/>
  <c r="M224" i="3"/>
  <c r="K224" i="3"/>
  <c r="J224" i="3"/>
  <c r="H224" i="3"/>
  <c r="N223" i="3"/>
  <c r="M223" i="3"/>
  <c r="K223" i="3"/>
  <c r="J223" i="3"/>
  <c r="H223" i="3"/>
  <c r="N222" i="3"/>
  <c r="M222" i="3"/>
  <c r="K222" i="3"/>
  <c r="J222" i="3"/>
  <c r="H222" i="3"/>
  <c r="N221" i="3"/>
  <c r="M221" i="3"/>
  <c r="K221" i="3"/>
  <c r="J221" i="3"/>
  <c r="H221" i="3"/>
  <c r="N220" i="3"/>
  <c r="M220" i="3"/>
  <c r="K220" i="3"/>
  <c r="J220" i="3"/>
  <c r="H220" i="3"/>
  <c r="N219" i="3"/>
  <c r="M219" i="3"/>
  <c r="K219" i="3"/>
  <c r="J219" i="3"/>
  <c r="H219" i="3"/>
  <c r="N218" i="3"/>
  <c r="M218" i="3"/>
  <c r="K218" i="3"/>
  <c r="J218" i="3"/>
  <c r="H218" i="3"/>
  <c r="N217" i="3"/>
  <c r="M217" i="3"/>
  <c r="K217" i="3"/>
  <c r="J217" i="3"/>
  <c r="H217" i="3"/>
  <c r="N216" i="3"/>
  <c r="M216" i="3"/>
  <c r="K216" i="3"/>
  <c r="J216" i="3"/>
  <c r="H216" i="3"/>
  <c r="N215" i="3"/>
  <c r="M215" i="3"/>
  <c r="K215" i="3"/>
  <c r="J215" i="3"/>
  <c r="H215" i="3"/>
  <c r="N214" i="3"/>
  <c r="M214" i="3"/>
  <c r="K214" i="3"/>
  <c r="J214" i="3"/>
  <c r="H214" i="3"/>
  <c r="N213" i="3"/>
  <c r="M213" i="3"/>
  <c r="K213" i="3"/>
  <c r="J213" i="3"/>
  <c r="H213" i="3"/>
  <c r="N212" i="3"/>
  <c r="M212" i="3"/>
  <c r="K212" i="3"/>
  <c r="J212" i="3"/>
  <c r="H212" i="3"/>
  <c r="N211" i="3"/>
  <c r="M211" i="3"/>
  <c r="K211" i="3"/>
  <c r="J211" i="3"/>
  <c r="H211" i="3"/>
  <c r="N210" i="3"/>
  <c r="M210" i="3"/>
  <c r="K210" i="3"/>
  <c r="J210" i="3"/>
  <c r="H210" i="3"/>
  <c r="N209" i="3"/>
  <c r="M209" i="3"/>
  <c r="K209" i="3"/>
  <c r="J209" i="3"/>
  <c r="H209" i="3"/>
  <c r="N208" i="3"/>
  <c r="M208" i="3"/>
  <c r="K208" i="3"/>
  <c r="J208" i="3"/>
  <c r="H208" i="3"/>
  <c r="N207" i="3"/>
  <c r="M207" i="3"/>
  <c r="K207" i="3"/>
  <c r="J207" i="3"/>
  <c r="H207" i="3"/>
  <c r="N206" i="3"/>
  <c r="M206" i="3"/>
  <c r="K206" i="3"/>
  <c r="J206" i="3"/>
  <c r="H206" i="3"/>
  <c r="N205" i="3"/>
  <c r="M205" i="3"/>
  <c r="K205" i="3"/>
  <c r="J205" i="3"/>
  <c r="H205" i="3"/>
  <c r="N204" i="3"/>
  <c r="M204" i="3"/>
  <c r="K204" i="3"/>
  <c r="J204" i="3"/>
  <c r="H204" i="3"/>
  <c r="N203" i="3"/>
  <c r="M203" i="3"/>
  <c r="K203" i="3"/>
  <c r="J203" i="3"/>
  <c r="H203" i="3"/>
  <c r="N202" i="3"/>
  <c r="M202" i="3"/>
  <c r="K202" i="3"/>
  <c r="J202" i="3"/>
  <c r="H202" i="3"/>
  <c r="N201" i="3"/>
  <c r="M201" i="3"/>
  <c r="K201" i="3"/>
  <c r="J201" i="3"/>
  <c r="H201" i="3"/>
  <c r="N200" i="3"/>
  <c r="M200" i="3"/>
  <c r="K200" i="3"/>
  <c r="J200" i="3"/>
  <c r="H200" i="3"/>
  <c r="N199" i="3"/>
  <c r="M199" i="3"/>
  <c r="K199" i="3"/>
  <c r="J199" i="3"/>
  <c r="H199" i="3"/>
  <c r="N198" i="3"/>
  <c r="M198" i="3"/>
  <c r="K198" i="3"/>
  <c r="J198" i="3"/>
  <c r="H198" i="3"/>
  <c r="N197" i="3"/>
  <c r="M197" i="3"/>
  <c r="K197" i="3"/>
  <c r="J197" i="3"/>
  <c r="H197" i="3"/>
  <c r="N196" i="3"/>
  <c r="M196" i="3"/>
  <c r="K196" i="3"/>
  <c r="J196" i="3"/>
  <c r="H196" i="3"/>
  <c r="N195" i="3"/>
  <c r="M195" i="3"/>
  <c r="K195" i="3"/>
  <c r="J195" i="3"/>
  <c r="H195" i="3"/>
  <c r="N194" i="3"/>
  <c r="M194" i="3"/>
  <c r="K194" i="3"/>
  <c r="J194" i="3"/>
  <c r="H194" i="3"/>
  <c r="N193" i="3"/>
  <c r="M193" i="3"/>
  <c r="K193" i="3"/>
  <c r="J193" i="3"/>
  <c r="H193" i="3"/>
  <c r="N192" i="3"/>
  <c r="M192" i="3"/>
  <c r="K192" i="3"/>
  <c r="J192" i="3"/>
  <c r="H192" i="3"/>
  <c r="N191" i="3"/>
  <c r="M191" i="3"/>
  <c r="K191" i="3"/>
  <c r="J191" i="3"/>
  <c r="H191" i="3"/>
  <c r="N190" i="3"/>
  <c r="M190" i="3"/>
  <c r="K190" i="3"/>
  <c r="J190" i="3"/>
  <c r="H190" i="3"/>
  <c r="N189" i="3"/>
  <c r="M189" i="3"/>
  <c r="K189" i="3"/>
  <c r="J189" i="3"/>
  <c r="H189" i="3"/>
  <c r="N188" i="3"/>
  <c r="M188" i="3"/>
  <c r="K188" i="3"/>
  <c r="J188" i="3"/>
  <c r="H188" i="3"/>
  <c r="N187" i="3"/>
  <c r="M187" i="3"/>
  <c r="K187" i="3"/>
  <c r="J187" i="3"/>
  <c r="H187" i="3"/>
  <c r="N186" i="3"/>
  <c r="M186" i="3"/>
  <c r="K186" i="3"/>
  <c r="J186" i="3"/>
  <c r="N185" i="3"/>
  <c r="M185" i="3"/>
  <c r="K185" i="3"/>
  <c r="J185" i="3"/>
  <c r="H185" i="3"/>
  <c r="N184" i="3"/>
  <c r="M184" i="3"/>
  <c r="K184" i="3"/>
  <c r="J184" i="3"/>
  <c r="H184" i="3"/>
  <c r="N183" i="3"/>
  <c r="M183" i="3"/>
  <c r="K183" i="3"/>
  <c r="J183" i="3"/>
  <c r="H183" i="3"/>
  <c r="N182" i="3"/>
  <c r="M182" i="3"/>
  <c r="K182" i="3"/>
  <c r="J182" i="3"/>
  <c r="H182" i="3"/>
  <c r="N181" i="3"/>
  <c r="M181" i="3"/>
  <c r="K181" i="3"/>
  <c r="J181" i="3"/>
  <c r="H181" i="3"/>
  <c r="N180" i="3"/>
  <c r="M180" i="3"/>
  <c r="K180" i="3"/>
  <c r="J180" i="3"/>
  <c r="H180" i="3"/>
  <c r="N179" i="3"/>
  <c r="M179" i="3"/>
  <c r="K179" i="3"/>
  <c r="J179" i="3"/>
  <c r="H179" i="3"/>
  <c r="N178" i="3"/>
  <c r="M178" i="3"/>
  <c r="K178" i="3"/>
  <c r="J178" i="3"/>
  <c r="H178" i="3"/>
  <c r="N177" i="3"/>
  <c r="M177" i="3"/>
  <c r="K177" i="3"/>
  <c r="J177" i="3"/>
  <c r="H177" i="3"/>
  <c r="N176" i="3"/>
  <c r="M176" i="3"/>
  <c r="K176" i="3"/>
  <c r="J176" i="3"/>
  <c r="H176" i="3"/>
  <c r="N175" i="3"/>
  <c r="M175" i="3"/>
  <c r="K175" i="3"/>
  <c r="J175" i="3"/>
  <c r="H175" i="3"/>
  <c r="N174" i="3"/>
  <c r="M174" i="3"/>
  <c r="K174" i="3"/>
  <c r="J174" i="3"/>
  <c r="H174" i="3"/>
  <c r="N173" i="3"/>
  <c r="M173" i="3"/>
  <c r="K173" i="3"/>
  <c r="J173" i="3"/>
  <c r="H173" i="3"/>
  <c r="N172" i="3"/>
  <c r="M172" i="3"/>
  <c r="K172" i="3"/>
  <c r="J172" i="3"/>
  <c r="H172" i="3"/>
  <c r="J171" i="3"/>
  <c r="H171" i="3"/>
  <c r="N170" i="3"/>
  <c r="M170" i="3"/>
  <c r="K170" i="3"/>
  <c r="J170" i="3"/>
  <c r="H170" i="3"/>
  <c r="N169" i="3"/>
  <c r="M169" i="3"/>
  <c r="K169" i="3"/>
  <c r="J169" i="3"/>
  <c r="H169" i="3"/>
  <c r="N168" i="3"/>
  <c r="M168" i="3"/>
  <c r="K168" i="3"/>
  <c r="J168" i="3"/>
  <c r="H168" i="3"/>
  <c r="N167" i="3"/>
  <c r="M167" i="3"/>
  <c r="K167" i="3"/>
  <c r="J167" i="3"/>
  <c r="H167" i="3"/>
  <c r="N166" i="3"/>
  <c r="M166" i="3"/>
  <c r="K166" i="3"/>
  <c r="J166" i="3"/>
  <c r="H166" i="3"/>
  <c r="N165" i="3"/>
  <c r="M165" i="3"/>
  <c r="K165" i="3"/>
  <c r="J165" i="3"/>
  <c r="H165" i="3"/>
  <c r="N164" i="3"/>
  <c r="M164" i="3"/>
  <c r="K164" i="3"/>
  <c r="J164" i="3"/>
  <c r="H164" i="3"/>
  <c r="N163" i="3"/>
  <c r="M163" i="3"/>
  <c r="K163" i="3"/>
  <c r="J163" i="3"/>
  <c r="H163" i="3"/>
  <c r="N162" i="3"/>
  <c r="M162" i="3"/>
  <c r="K162" i="3"/>
  <c r="J162" i="3"/>
  <c r="H162" i="3"/>
  <c r="N161" i="3"/>
  <c r="M161" i="3"/>
  <c r="K161" i="3"/>
  <c r="J161" i="3"/>
  <c r="H161" i="3"/>
  <c r="N160" i="3"/>
  <c r="M160" i="3"/>
  <c r="K160" i="3"/>
  <c r="J160" i="3"/>
  <c r="H160" i="3"/>
  <c r="N159" i="3"/>
  <c r="M159" i="3"/>
  <c r="K159" i="3"/>
  <c r="J159" i="3"/>
  <c r="H159" i="3"/>
  <c r="N158" i="3"/>
  <c r="M158" i="3"/>
  <c r="K158" i="3"/>
  <c r="J158" i="3"/>
  <c r="H158" i="3"/>
  <c r="N157" i="3"/>
  <c r="M157" i="3"/>
  <c r="K157" i="3"/>
  <c r="J157" i="3"/>
  <c r="H157" i="3"/>
  <c r="N156" i="3"/>
  <c r="M156" i="3"/>
  <c r="K156" i="3"/>
  <c r="J156" i="3"/>
  <c r="H156" i="3"/>
  <c r="N155" i="3"/>
  <c r="M155" i="3"/>
  <c r="K155" i="3"/>
  <c r="J155" i="3"/>
  <c r="H155" i="3"/>
  <c r="N154" i="3"/>
  <c r="M154" i="3"/>
  <c r="K154" i="3"/>
  <c r="J154" i="3"/>
  <c r="H154" i="3"/>
  <c r="N153" i="3"/>
  <c r="M153" i="3"/>
  <c r="K153" i="3"/>
  <c r="J153" i="3"/>
  <c r="H153" i="3"/>
  <c r="N152" i="3"/>
  <c r="M152" i="3"/>
  <c r="K152" i="3"/>
  <c r="J152" i="3"/>
  <c r="H152" i="3"/>
  <c r="N151" i="3"/>
  <c r="M151" i="3"/>
  <c r="K151" i="3"/>
  <c r="J151" i="3"/>
  <c r="H151" i="3"/>
  <c r="N150" i="3"/>
  <c r="M150" i="3"/>
  <c r="K150" i="3"/>
  <c r="J150" i="3"/>
  <c r="H150" i="3"/>
  <c r="N149" i="3"/>
  <c r="M149" i="3"/>
  <c r="K149" i="3"/>
  <c r="J149" i="3"/>
  <c r="H149" i="3"/>
  <c r="N148" i="3"/>
  <c r="M148" i="3"/>
  <c r="K148" i="3"/>
  <c r="J148" i="3"/>
  <c r="H148" i="3"/>
  <c r="N147" i="3"/>
  <c r="M147" i="3"/>
  <c r="K147" i="3"/>
  <c r="J147" i="3"/>
  <c r="H147" i="3"/>
  <c r="N146" i="3"/>
  <c r="M146" i="3"/>
  <c r="K146" i="3"/>
  <c r="J146" i="3"/>
  <c r="H146" i="3"/>
  <c r="N145" i="3"/>
  <c r="M145" i="3"/>
  <c r="K145" i="3"/>
  <c r="J145" i="3"/>
  <c r="H145" i="3"/>
  <c r="N144" i="3"/>
  <c r="M144" i="3"/>
  <c r="K144" i="3"/>
  <c r="J144" i="3"/>
  <c r="H144" i="3"/>
  <c r="N143" i="3"/>
  <c r="M143" i="3"/>
  <c r="K143" i="3"/>
  <c r="J143" i="3"/>
  <c r="H143" i="3"/>
  <c r="N142" i="3"/>
  <c r="M142" i="3"/>
  <c r="K142" i="3"/>
  <c r="J142" i="3"/>
  <c r="H142" i="3"/>
  <c r="N141" i="3"/>
  <c r="M141" i="3"/>
  <c r="K141" i="3"/>
  <c r="J141" i="3"/>
  <c r="H141" i="3"/>
  <c r="N140" i="3"/>
  <c r="M140" i="3"/>
  <c r="K140" i="3"/>
  <c r="J140" i="3"/>
  <c r="H140" i="3"/>
  <c r="N139" i="3"/>
  <c r="M139" i="3"/>
  <c r="K139" i="3"/>
  <c r="J139" i="3"/>
  <c r="H139" i="3"/>
  <c r="N138" i="3"/>
  <c r="M138" i="3"/>
  <c r="K138" i="3"/>
  <c r="J138" i="3"/>
  <c r="H138" i="3"/>
  <c r="N137" i="3"/>
  <c r="M137" i="3"/>
  <c r="K137" i="3"/>
  <c r="J137" i="3"/>
  <c r="H137" i="3"/>
  <c r="N136" i="3"/>
  <c r="M136" i="3"/>
  <c r="K136" i="3"/>
  <c r="J136" i="3"/>
  <c r="H136" i="3"/>
  <c r="N135" i="3"/>
  <c r="M135" i="3"/>
  <c r="K135" i="3"/>
  <c r="J135" i="3"/>
  <c r="H135" i="3"/>
  <c r="N134" i="3"/>
  <c r="M134" i="3"/>
  <c r="K134" i="3"/>
  <c r="J134" i="3"/>
  <c r="H134" i="3"/>
  <c r="N133" i="3"/>
  <c r="M133" i="3"/>
  <c r="K133" i="3"/>
  <c r="J133" i="3"/>
  <c r="H133" i="3"/>
  <c r="N132" i="3"/>
  <c r="M132" i="3"/>
  <c r="K132" i="3"/>
  <c r="J132" i="3"/>
  <c r="H132" i="3"/>
  <c r="N131" i="3"/>
  <c r="M131" i="3"/>
  <c r="K131" i="3"/>
  <c r="J131" i="3"/>
  <c r="H131" i="3"/>
  <c r="N130" i="3"/>
  <c r="M130" i="3"/>
  <c r="K130" i="3"/>
  <c r="J130" i="3"/>
  <c r="H130" i="3"/>
  <c r="N129" i="3"/>
  <c r="M129" i="3"/>
  <c r="K129" i="3"/>
  <c r="J129" i="3"/>
  <c r="H129" i="3"/>
  <c r="N128" i="3"/>
  <c r="M128" i="3"/>
  <c r="K128" i="3"/>
  <c r="J128" i="3"/>
  <c r="H128" i="3"/>
  <c r="N127" i="3"/>
  <c r="M127" i="3"/>
  <c r="K127" i="3"/>
  <c r="J127" i="3"/>
  <c r="H127" i="3"/>
  <c r="N126" i="3"/>
  <c r="M126" i="3"/>
  <c r="K126" i="3"/>
  <c r="J126" i="3"/>
  <c r="H126" i="3"/>
  <c r="N125" i="3"/>
  <c r="M125" i="3"/>
  <c r="K125" i="3"/>
  <c r="J125" i="3"/>
  <c r="H125" i="3"/>
  <c r="N124" i="3"/>
  <c r="M124" i="3"/>
  <c r="K124" i="3"/>
  <c r="J124" i="3"/>
  <c r="H124" i="3"/>
  <c r="N123" i="3"/>
  <c r="M123" i="3"/>
  <c r="K123" i="3"/>
  <c r="J123" i="3"/>
  <c r="H123" i="3"/>
  <c r="N122" i="3"/>
  <c r="M122" i="3"/>
  <c r="K122" i="3"/>
  <c r="J122" i="3"/>
  <c r="H122" i="3"/>
  <c r="N121" i="3"/>
  <c r="M121" i="3"/>
  <c r="K121" i="3"/>
  <c r="J121" i="3"/>
  <c r="H121" i="3"/>
  <c r="N120" i="3"/>
  <c r="M120" i="3"/>
  <c r="K120" i="3"/>
  <c r="J120" i="3"/>
  <c r="H120" i="3"/>
  <c r="N119" i="3"/>
  <c r="M119" i="3"/>
  <c r="K119" i="3"/>
  <c r="J119" i="3"/>
  <c r="H119" i="3"/>
  <c r="N118" i="3"/>
  <c r="M118" i="3"/>
  <c r="K118" i="3"/>
  <c r="J118" i="3"/>
  <c r="H118" i="3"/>
  <c r="N117" i="3"/>
  <c r="M117" i="3"/>
  <c r="K117" i="3"/>
  <c r="J117" i="3"/>
  <c r="H117" i="3"/>
  <c r="N116" i="3"/>
  <c r="M116" i="3"/>
  <c r="K116" i="3"/>
  <c r="J116" i="3"/>
  <c r="H116" i="3"/>
  <c r="N115" i="3"/>
  <c r="M115" i="3"/>
  <c r="K115" i="3"/>
  <c r="J115" i="3"/>
  <c r="H115" i="3"/>
  <c r="N114" i="3"/>
  <c r="M114" i="3"/>
  <c r="K114" i="3"/>
  <c r="J114" i="3"/>
  <c r="H114" i="3"/>
  <c r="N113" i="3"/>
  <c r="M113" i="3"/>
  <c r="K113" i="3"/>
  <c r="J113" i="3"/>
  <c r="H113" i="3"/>
  <c r="N112" i="3"/>
  <c r="M112" i="3"/>
  <c r="K112" i="3"/>
  <c r="J112" i="3"/>
  <c r="H112" i="3"/>
  <c r="N111" i="3"/>
  <c r="M111" i="3"/>
  <c r="K111" i="3"/>
  <c r="J111" i="3"/>
  <c r="H111" i="3"/>
  <c r="N110" i="3"/>
  <c r="M110" i="3"/>
  <c r="K110" i="3"/>
  <c r="J110" i="3"/>
  <c r="H110" i="3"/>
  <c r="N109" i="3"/>
  <c r="M109" i="3"/>
  <c r="K109" i="3"/>
  <c r="J109" i="3"/>
  <c r="H109" i="3"/>
  <c r="N108" i="3"/>
  <c r="M108" i="3"/>
  <c r="K108" i="3"/>
  <c r="J108" i="3"/>
  <c r="H108" i="3"/>
  <c r="N107" i="3"/>
  <c r="M107" i="3"/>
  <c r="K107" i="3"/>
  <c r="J107" i="3"/>
  <c r="H107" i="3"/>
  <c r="N106" i="3"/>
  <c r="M106" i="3"/>
  <c r="K106" i="3"/>
  <c r="J106" i="3"/>
  <c r="H106" i="3"/>
  <c r="N105" i="3"/>
  <c r="M105" i="3"/>
  <c r="K105" i="3"/>
  <c r="J105" i="3"/>
  <c r="H105" i="3"/>
  <c r="N104" i="3"/>
  <c r="M104" i="3"/>
  <c r="K104" i="3"/>
  <c r="J104" i="3"/>
  <c r="H104" i="3"/>
  <c r="N103" i="3"/>
  <c r="M103" i="3"/>
  <c r="K103" i="3"/>
  <c r="J103" i="3"/>
  <c r="H103" i="3"/>
  <c r="N102" i="3"/>
  <c r="M102" i="3"/>
  <c r="K102" i="3"/>
  <c r="J102" i="3"/>
  <c r="H102" i="3"/>
  <c r="M101" i="3"/>
  <c r="K101" i="3"/>
  <c r="J101" i="3"/>
  <c r="H101" i="3"/>
  <c r="N100" i="3"/>
  <c r="M100" i="3"/>
  <c r="K100" i="3"/>
  <c r="J100" i="3"/>
  <c r="H100" i="3"/>
  <c r="N99" i="3"/>
  <c r="M99" i="3"/>
  <c r="K99" i="3"/>
  <c r="J99" i="3"/>
  <c r="H99" i="3"/>
  <c r="N97" i="3"/>
  <c r="M97" i="3"/>
  <c r="K97" i="3"/>
  <c r="J97" i="3"/>
  <c r="H97" i="3"/>
  <c r="N96" i="3"/>
  <c r="M96" i="3"/>
  <c r="K96" i="3"/>
  <c r="J96" i="3"/>
  <c r="H96" i="3"/>
  <c r="N95" i="3"/>
  <c r="M95" i="3"/>
  <c r="K95" i="3"/>
  <c r="J95" i="3"/>
  <c r="H95" i="3"/>
  <c r="N94" i="3"/>
  <c r="M94" i="3"/>
  <c r="K94" i="3"/>
  <c r="J94" i="3"/>
  <c r="H94" i="3"/>
  <c r="N93" i="3"/>
  <c r="M93" i="3"/>
  <c r="K93" i="3"/>
  <c r="J93" i="3"/>
  <c r="H93" i="3"/>
  <c r="N92" i="3"/>
  <c r="M92" i="3"/>
  <c r="K92" i="3"/>
  <c r="J92" i="3"/>
  <c r="H92" i="3"/>
  <c r="N91" i="3"/>
  <c r="M91" i="3"/>
  <c r="K91" i="3"/>
  <c r="J91" i="3"/>
  <c r="H91" i="3"/>
  <c r="N90" i="3"/>
  <c r="M90" i="3"/>
  <c r="K90" i="3"/>
  <c r="J90" i="3"/>
  <c r="H90" i="3"/>
  <c r="N89" i="3"/>
  <c r="M89" i="3"/>
  <c r="K89" i="3"/>
  <c r="J89" i="3"/>
  <c r="H89" i="3"/>
  <c r="N88" i="3"/>
  <c r="M88" i="3"/>
  <c r="K88" i="3"/>
  <c r="J88" i="3"/>
  <c r="H88" i="3"/>
  <c r="N87" i="3"/>
  <c r="M87" i="3"/>
  <c r="K87" i="3"/>
  <c r="J87" i="3"/>
  <c r="H87" i="3"/>
  <c r="N86" i="3"/>
  <c r="M86" i="3"/>
  <c r="K86" i="3"/>
  <c r="J86" i="3"/>
  <c r="H86" i="3"/>
  <c r="N85" i="3"/>
  <c r="M85" i="3"/>
  <c r="K85" i="3"/>
  <c r="J85" i="3"/>
  <c r="H85" i="3"/>
  <c r="N84" i="3"/>
  <c r="M84" i="3"/>
  <c r="K84" i="3"/>
  <c r="J84" i="3"/>
  <c r="H84" i="3"/>
  <c r="N83" i="3"/>
  <c r="M83" i="3"/>
  <c r="K83" i="3"/>
  <c r="J83" i="3"/>
  <c r="H83" i="3"/>
  <c r="N82" i="3"/>
  <c r="M82" i="3"/>
  <c r="J82" i="3"/>
  <c r="N81" i="3"/>
  <c r="M81" i="3"/>
  <c r="K81" i="3"/>
  <c r="J81" i="3"/>
  <c r="H81" i="3"/>
  <c r="N80" i="3"/>
  <c r="M80" i="3"/>
  <c r="K80" i="3"/>
  <c r="J80" i="3"/>
  <c r="H80" i="3"/>
  <c r="N79" i="3"/>
  <c r="M79" i="3"/>
  <c r="K79" i="3"/>
  <c r="J79" i="3"/>
  <c r="H79" i="3"/>
  <c r="N78" i="3"/>
  <c r="M78" i="3"/>
  <c r="K78" i="3"/>
  <c r="J78" i="3"/>
  <c r="H78" i="3"/>
  <c r="N77" i="3"/>
  <c r="M77" i="3"/>
  <c r="K77" i="3"/>
  <c r="J77" i="3"/>
  <c r="H77" i="3"/>
  <c r="N76" i="3"/>
  <c r="M76" i="3"/>
  <c r="K76" i="3"/>
  <c r="J76" i="3"/>
  <c r="H76" i="3"/>
  <c r="N75" i="3"/>
  <c r="M75" i="3"/>
  <c r="K75" i="3"/>
  <c r="J75" i="3"/>
  <c r="H75" i="3"/>
  <c r="N74" i="3"/>
  <c r="M74" i="3"/>
  <c r="K74" i="3"/>
  <c r="J74" i="3"/>
  <c r="H74" i="3"/>
  <c r="N73" i="3"/>
  <c r="M73" i="3"/>
  <c r="K73" i="3"/>
  <c r="J73" i="3"/>
  <c r="H73" i="3"/>
  <c r="N72" i="3"/>
  <c r="M72" i="3"/>
  <c r="K72" i="3"/>
  <c r="J72" i="3"/>
  <c r="H72" i="3"/>
  <c r="N71" i="3"/>
  <c r="M71" i="3"/>
  <c r="K71" i="3"/>
  <c r="J71" i="3"/>
  <c r="H71" i="3"/>
  <c r="N70" i="3"/>
  <c r="M70" i="3"/>
  <c r="K70" i="3"/>
  <c r="J70" i="3"/>
  <c r="H70" i="3"/>
  <c r="N69" i="3"/>
  <c r="M69" i="3"/>
  <c r="K69" i="3"/>
  <c r="J69" i="3"/>
  <c r="H69" i="3"/>
  <c r="N68" i="3"/>
  <c r="M68" i="3"/>
  <c r="K68" i="3"/>
  <c r="J68" i="3"/>
  <c r="H68" i="3"/>
  <c r="N67" i="3"/>
  <c r="M67" i="3"/>
  <c r="K67" i="3"/>
  <c r="J67" i="3"/>
  <c r="H67" i="3"/>
  <c r="N66" i="3"/>
  <c r="M66" i="3"/>
  <c r="K66" i="3"/>
  <c r="J66" i="3"/>
  <c r="H66" i="3"/>
  <c r="N65" i="3"/>
  <c r="M65" i="3"/>
  <c r="K65" i="3"/>
  <c r="J65" i="3"/>
  <c r="H65" i="3"/>
  <c r="N64" i="3"/>
  <c r="M64" i="3"/>
  <c r="K64" i="3"/>
  <c r="J64" i="3"/>
  <c r="H64" i="3"/>
  <c r="N63" i="3"/>
  <c r="M63" i="3"/>
  <c r="K63" i="3"/>
  <c r="J63" i="3"/>
  <c r="H63" i="3"/>
  <c r="N62" i="3"/>
  <c r="M62" i="3"/>
  <c r="K62" i="3"/>
  <c r="J62" i="3"/>
  <c r="H62" i="3"/>
  <c r="N61" i="3"/>
  <c r="M61" i="3"/>
  <c r="K61" i="3"/>
  <c r="J61" i="3"/>
  <c r="H61" i="3"/>
  <c r="N60" i="3"/>
  <c r="M60" i="3"/>
  <c r="K60" i="3"/>
  <c r="J60" i="3"/>
  <c r="H60" i="3"/>
  <c r="N59" i="3"/>
  <c r="M59" i="3"/>
  <c r="K59" i="3"/>
  <c r="J59" i="3"/>
  <c r="H59" i="3"/>
  <c r="N58" i="3"/>
  <c r="M58" i="3"/>
  <c r="K58" i="3"/>
  <c r="J58" i="3"/>
  <c r="H58" i="3"/>
  <c r="N57" i="3"/>
  <c r="M57" i="3"/>
  <c r="K57" i="3"/>
  <c r="J57" i="3"/>
  <c r="H57" i="3"/>
  <c r="N56" i="3"/>
  <c r="M56" i="3"/>
  <c r="K56" i="3"/>
  <c r="J56" i="3"/>
  <c r="H56" i="3"/>
  <c r="N55" i="3"/>
  <c r="M55" i="3"/>
  <c r="K55" i="3"/>
  <c r="J55" i="3"/>
  <c r="H55" i="3"/>
  <c r="N54" i="3"/>
  <c r="M54" i="3"/>
  <c r="K54" i="3"/>
  <c r="J54" i="3"/>
  <c r="H54" i="3"/>
  <c r="N53" i="3"/>
  <c r="M53" i="3"/>
  <c r="K53" i="3"/>
  <c r="J53" i="3"/>
  <c r="H53" i="3"/>
  <c r="N52" i="3"/>
  <c r="M52" i="3"/>
  <c r="K52" i="3"/>
  <c r="J52" i="3"/>
  <c r="H52" i="3"/>
  <c r="N51" i="3"/>
  <c r="M51" i="3"/>
  <c r="K51" i="3"/>
  <c r="J51" i="3"/>
  <c r="H51" i="3"/>
  <c r="N50" i="3"/>
  <c r="M50" i="3"/>
  <c r="K50" i="3"/>
  <c r="J50" i="3"/>
  <c r="H50" i="3"/>
  <c r="N49" i="3"/>
  <c r="M49" i="3"/>
  <c r="K49" i="3"/>
  <c r="J49" i="3"/>
  <c r="H49" i="3"/>
  <c r="N48" i="3"/>
  <c r="M48" i="3"/>
  <c r="K48" i="3"/>
  <c r="J48" i="3"/>
  <c r="H48" i="3"/>
  <c r="N47" i="3"/>
  <c r="M47" i="3"/>
  <c r="K47" i="3"/>
  <c r="J47" i="3"/>
  <c r="H47" i="3"/>
  <c r="N46" i="3"/>
  <c r="M46" i="3"/>
  <c r="K46" i="3"/>
  <c r="J46" i="3"/>
  <c r="H46" i="3"/>
  <c r="N45" i="3"/>
  <c r="M45" i="3"/>
  <c r="K45" i="3"/>
  <c r="J45" i="3"/>
  <c r="H45" i="3"/>
  <c r="N44" i="3"/>
  <c r="M44" i="3"/>
  <c r="K44" i="3"/>
  <c r="J44" i="3"/>
  <c r="H44" i="3"/>
  <c r="N43" i="3"/>
  <c r="M43" i="3"/>
  <c r="K43" i="3"/>
  <c r="J43" i="3"/>
  <c r="H43" i="3"/>
  <c r="N42" i="3"/>
  <c r="M42" i="3"/>
  <c r="K42" i="3"/>
  <c r="J42" i="3"/>
  <c r="N41" i="3"/>
  <c r="M41" i="3"/>
  <c r="K41" i="3"/>
  <c r="J41" i="3"/>
  <c r="H41" i="3"/>
  <c r="N40" i="3"/>
  <c r="K40" i="3"/>
  <c r="N39" i="3"/>
  <c r="M39" i="3"/>
  <c r="K39" i="3"/>
  <c r="J39" i="3"/>
  <c r="H39" i="3"/>
  <c r="N38" i="3"/>
  <c r="M38" i="3"/>
  <c r="K38" i="3"/>
  <c r="J38" i="3"/>
  <c r="H38" i="3"/>
  <c r="N37" i="3"/>
  <c r="M37" i="3"/>
  <c r="K37" i="3"/>
  <c r="J37" i="3"/>
  <c r="H37" i="3"/>
  <c r="N36" i="3"/>
  <c r="M36" i="3"/>
  <c r="K36" i="3"/>
  <c r="J36" i="3"/>
  <c r="H36" i="3"/>
  <c r="N35" i="3"/>
  <c r="M35" i="3"/>
  <c r="K35" i="3"/>
  <c r="J35" i="3"/>
  <c r="H35" i="3"/>
  <c r="N34" i="3"/>
  <c r="M34" i="3"/>
  <c r="K34" i="3"/>
  <c r="J34" i="3"/>
  <c r="H34" i="3"/>
  <c r="N33" i="3"/>
  <c r="M33" i="3"/>
  <c r="K33" i="3"/>
  <c r="J33" i="3"/>
  <c r="H33" i="3"/>
  <c r="N32" i="3"/>
  <c r="M32" i="3"/>
  <c r="K32" i="3"/>
  <c r="J32" i="3"/>
  <c r="H32" i="3"/>
  <c r="N31" i="3"/>
  <c r="M31" i="3"/>
  <c r="K31" i="3"/>
  <c r="J31" i="3"/>
  <c r="H31" i="3"/>
  <c r="N30" i="3"/>
  <c r="M30" i="3"/>
  <c r="K30" i="3"/>
  <c r="J30" i="3"/>
  <c r="H30" i="3"/>
  <c r="N29" i="3"/>
  <c r="M29" i="3"/>
  <c r="K29" i="3"/>
  <c r="J29" i="3"/>
  <c r="H29" i="3"/>
  <c r="N28" i="3"/>
  <c r="M28" i="3"/>
  <c r="K28" i="3"/>
  <c r="J28" i="3"/>
  <c r="H28" i="3"/>
  <c r="N27" i="3"/>
  <c r="M27" i="3"/>
  <c r="K27" i="3"/>
  <c r="J27" i="3"/>
  <c r="H27" i="3"/>
  <c r="N26" i="3"/>
  <c r="M26" i="3"/>
  <c r="K26" i="3"/>
  <c r="J26" i="3"/>
  <c r="N25" i="3"/>
  <c r="M25" i="3"/>
  <c r="N24" i="3"/>
  <c r="M24" i="3"/>
  <c r="K24" i="3"/>
  <c r="J24" i="3"/>
  <c r="H24" i="3"/>
  <c r="N23" i="3"/>
  <c r="M23" i="3"/>
  <c r="K23" i="3"/>
  <c r="J23" i="3"/>
  <c r="H23" i="3"/>
  <c r="N22" i="3"/>
  <c r="M22" i="3"/>
  <c r="K22" i="3"/>
  <c r="J22" i="3"/>
  <c r="H22" i="3"/>
  <c r="N21" i="3"/>
  <c r="M21" i="3"/>
  <c r="K21" i="3"/>
  <c r="J21" i="3"/>
  <c r="H21" i="3"/>
  <c r="N20" i="3"/>
  <c r="M20" i="3"/>
  <c r="K20" i="3"/>
  <c r="J20" i="3"/>
  <c r="H20" i="3"/>
  <c r="N19" i="3"/>
  <c r="M19" i="3"/>
  <c r="K19" i="3"/>
  <c r="J19" i="3"/>
  <c r="H19" i="3"/>
  <c r="N18" i="3"/>
  <c r="M18" i="3"/>
  <c r="K18" i="3"/>
  <c r="J18" i="3"/>
  <c r="H18" i="3"/>
  <c r="N17" i="3"/>
  <c r="M17" i="3"/>
  <c r="K17" i="3"/>
  <c r="J17" i="3"/>
  <c r="H17" i="3"/>
  <c r="N16" i="3"/>
  <c r="M16" i="3"/>
  <c r="K16" i="3"/>
  <c r="J16" i="3"/>
  <c r="N15" i="3"/>
  <c r="M15" i="3"/>
  <c r="K15" i="3"/>
  <c r="J15" i="3"/>
  <c r="H15" i="3"/>
  <c r="N14" i="3"/>
  <c r="M14" i="3"/>
  <c r="K14" i="3"/>
  <c r="J14" i="3"/>
  <c r="H14" i="3"/>
  <c r="N13" i="3"/>
  <c r="M13" i="3"/>
  <c r="K13" i="3"/>
  <c r="J13" i="3"/>
  <c r="H13" i="3"/>
  <c r="N12" i="3"/>
  <c r="M12" i="3"/>
  <c r="K12" i="3"/>
  <c r="J12" i="3"/>
  <c r="H12" i="3"/>
  <c r="N11" i="3"/>
  <c r="M11" i="3"/>
  <c r="K11" i="3"/>
  <c r="J11" i="3"/>
  <c r="H11" i="3"/>
  <c r="N10" i="3"/>
  <c r="M10" i="3"/>
  <c r="K10" i="3"/>
  <c r="J10" i="3"/>
  <c r="H10" i="3"/>
  <c r="N9" i="3"/>
  <c r="M9" i="3"/>
  <c r="K9" i="3"/>
  <c r="J9" i="3"/>
  <c r="H9" i="3"/>
  <c r="N8" i="3"/>
  <c r="M8" i="3"/>
  <c r="K8" i="3"/>
  <c r="J8" i="3"/>
  <c r="N7" i="3"/>
  <c r="M7" i="3"/>
  <c r="K7" i="3"/>
  <c r="J7" i="3"/>
  <c r="H7" i="3"/>
  <c r="N6" i="3"/>
  <c r="M6" i="3"/>
  <c r="K6" i="3"/>
  <c r="J6" i="3"/>
  <c r="H6" i="3"/>
  <c r="N5" i="3"/>
  <c r="M5" i="3"/>
  <c r="K5" i="3"/>
  <c r="J5" i="3"/>
  <c r="H5" i="3"/>
  <c r="N4" i="3"/>
  <c r="M4" i="3"/>
  <c r="K4" i="3"/>
  <c r="J4" i="3"/>
  <c r="H4" i="3"/>
  <c r="N3" i="3"/>
  <c r="M3" i="3"/>
  <c r="K3" i="3"/>
  <c r="J3" i="3"/>
  <c r="H3" i="3"/>
  <c r="N2" i="3"/>
  <c r="N344" i="3" s="1"/>
  <c r="M2" i="3"/>
  <c r="K2" i="3"/>
  <c r="J2" i="3"/>
  <c r="H2" i="3"/>
  <c r="AT116" i="2" l="1"/>
  <c r="AU116" i="2" s="1"/>
  <c r="AS116" i="2"/>
  <c r="AR116" i="2"/>
  <c r="AO116" i="2"/>
  <c r="AN116" i="2"/>
  <c r="AL116" i="2"/>
  <c r="AK116" i="2"/>
  <c r="AP116" i="2" s="1"/>
  <c r="AH116" i="2"/>
  <c r="AG116" i="2"/>
  <c r="AE116" i="2"/>
  <c r="AD116" i="2"/>
  <c r="AI116" i="2" s="1"/>
  <c r="AA116" i="2"/>
  <c r="Z116" i="2"/>
  <c r="X116" i="2"/>
  <c r="W116" i="2"/>
  <c r="T116" i="2"/>
  <c r="S116" i="2"/>
  <c r="Q116" i="2"/>
  <c r="P116" i="2"/>
  <c r="N116" i="2"/>
  <c r="M116" i="2"/>
  <c r="J116" i="2"/>
  <c r="AV115" i="2"/>
  <c r="AU115" i="2"/>
  <c r="AS115" i="2"/>
  <c r="AR115" i="2"/>
  <c r="AO115" i="2"/>
  <c r="AN115" i="2"/>
  <c r="AL115" i="2"/>
  <c r="AK115" i="2"/>
  <c r="AP115" i="2" s="1"/>
  <c r="AH115" i="2"/>
  <c r="AG115" i="2"/>
  <c r="AE115" i="2"/>
  <c r="AD115" i="2"/>
  <c r="AI115" i="2" s="1"/>
  <c r="AA115" i="2"/>
  <c r="Z115" i="2"/>
  <c r="X115" i="2"/>
  <c r="W115" i="2"/>
  <c r="T115" i="2"/>
  <c r="S115" i="2"/>
  <c r="Q115" i="2"/>
  <c r="P115" i="2"/>
  <c r="U115" i="2" s="1"/>
  <c r="N115" i="2"/>
  <c r="M115" i="2"/>
  <c r="J115" i="2"/>
  <c r="AV114" i="2"/>
  <c r="AU114" i="2"/>
  <c r="AS114" i="2"/>
  <c r="AR114" i="2"/>
  <c r="AO114" i="2"/>
  <c r="AN114" i="2"/>
  <c r="AL114" i="2"/>
  <c r="AK114" i="2"/>
  <c r="AH114" i="2"/>
  <c r="AG114" i="2"/>
  <c r="AE114" i="2"/>
  <c r="AD114" i="2"/>
  <c r="AA114" i="2"/>
  <c r="Z114" i="2"/>
  <c r="AB114" i="2" s="1"/>
  <c r="X114" i="2"/>
  <c r="W114" i="2"/>
  <c r="T114" i="2"/>
  <c r="S114" i="2"/>
  <c r="U114" i="2" s="1"/>
  <c r="Q114" i="2"/>
  <c r="P114" i="2"/>
  <c r="M114" i="2"/>
  <c r="L114" i="2"/>
  <c r="J114" i="2"/>
  <c r="I114" i="2"/>
  <c r="AV113" i="2"/>
  <c r="AU113" i="2"/>
  <c r="AS113" i="2"/>
  <c r="AR113" i="2"/>
  <c r="AO113" i="2"/>
  <c r="AN113" i="2"/>
  <c r="AP113" i="2" s="1"/>
  <c r="AL113" i="2"/>
  <c r="AK113" i="2"/>
  <c r="AH113" i="2"/>
  <c r="AG113" i="2"/>
  <c r="AE113" i="2"/>
  <c r="AD113" i="2"/>
  <c r="AA113" i="2"/>
  <c r="Z113" i="2"/>
  <c r="X113" i="2"/>
  <c r="W113" i="2"/>
  <c r="T113" i="2"/>
  <c r="S113" i="2"/>
  <c r="U113" i="2" s="1"/>
  <c r="Q113" i="2"/>
  <c r="P113" i="2"/>
  <c r="M113" i="2"/>
  <c r="L113" i="2"/>
  <c r="N113" i="2" s="1"/>
  <c r="J113" i="2"/>
  <c r="I113" i="2"/>
  <c r="AV112" i="2"/>
  <c r="AU112" i="2"/>
  <c r="AW112" i="2" s="1"/>
  <c r="AS112" i="2"/>
  <c r="AR112" i="2"/>
  <c r="AO112" i="2"/>
  <c r="AN112" i="2"/>
  <c r="AL112" i="2"/>
  <c r="AK112" i="2"/>
  <c r="AH112" i="2"/>
  <c r="AG112" i="2"/>
  <c r="AI112" i="2" s="1"/>
  <c r="AE112" i="2"/>
  <c r="AD112" i="2"/>
  <c r="AA112" i="2"/>
  <c r="Z112" i="2"/>
  <c r="AB112" i="2" s="1"/>
  <c r="X112" i="2"/>
  <c r="W112" i="2"/>
  <c r="T112" i="2"/>
  <c r="S112" i="2"/>
  <c r="Q112" i="2"/>
  <c r="P112" i="2"/>
  <c r="M112" i="2"/>
  <c r="L112" i="2"/>
  <c r="J112" i="2"/>
  <c r="I112" i="2"/>
  <c r="AV111" i="2"/>
  <c r="AU111" i="2"/>
  <c r="AS111" i="2"/>
  <c r="AR111" i="2"/>
  <c r="AO111" i="2"/>
  <c r="AN111" i="2"/>
  <c r="AP111" i="2" s="1"/>
  <c r="AL111" i="2"/>
  <c r="AK111" i="2"/>
  <c r="AH111" i="2"/>
  <c r="AG111" i="2"/>
  <c r="AI111" i="2" s="1"/>
  <c r="AE111" i="2"/>
  <c r="AD111" i="2"/>
  <c r="AA111" i="2"/>
  <c r="Z111" i="2"/>
  <c r="X111" i="2"/>
  <c r="W111" i="2"/>
  <c r="T111" i="2"/>
  <c r="S111" i="2"/>
  <c r="Q111" i="2"/>
  <c r="P111" i="2"/>
  <c r="M111" i="2"/>
  <c r="L111" i="2"/>
  <c r="N111" i="2" s="1"/>
  <c r="J111" i="2"/>
  <c r="I111" i="2"/>
  <c r="AV110" i="2"/>
  <c r="AU110" i="2"/>
  <c r="AT110" i="2"/>
  <c r="AQ110" i="2"/>
  <c r="AO110" i="2"/>
  <c r="AN110" i="2"/>
  <c r="AP110" i="2" s="1"/>
  <c r="AL110" i="2"/>
  <c r="AK110" i="2"/>
  <c r="AH110" i="2"/>
  <c r="AG110" i="2"/>
  <c r="AI110" i="2" s="1"/>
  <c r="AF110" i="2"/>
  <c r="AE110" i="2"/>
  <c r="AD110" i="2"/>
  <c r="Z110" i="2"/>
  <c r="AB110" i="2" s="1"/>
  <c r="Y110" i="2"/>
  <c r="AA110" i="2" s="1"/>
  <c r="V110" i="2"/>
  <c r="W110" i="2" s="1"/>
  <c r="T110" i="2"/>
  <c r="S110" i="2"/>
  <c r="Q110" i="2"/>
  <c r="P110" i="2"/>
  <c r="U110" i="2" s="1"/>
  <c r="L110" i="2"/>
  <c r="K110" i="2"/>
  <c r="M110" i="2" s="1"/>
  <c r="H110" i="2"/>
  <c r="AV109" i="2"/>
  <c r="AU109" i="2"/>
  <c r="AS109" i="2"/>
  <c r="AR109" i="2"/>
  <c r="AO109" i="2"/>
  <c r="AN109" i="2"/>
  <c r="AP109" i="2" s="1"/>
  <c r="AL109" i="2"/>
  <c r="AK109" i="2"/>
  <c r="AH109" i="2"/>
  <c r="AG109" i="2"/>
  <c r="AI109" i="2" s="1"/>
  <c r="AE109" i="2"/>
  <c r="AD109" i="2"/>
  <c r="AA109" i="2"/>
  <c r="Z109" i="2"/>
  <c r="AB109" i="2" s="1"/>
  <c r="X109" i="2"/>
  <c r="W109" i="2"/>
  <c r="T109" i="2"/>
  <c r="S109" i="2"/>
  <c r="Q109" i="2"/>
  <c r="P109" i="2"/>
  <c r="M109" i="2"/>
  <c r="L109" i="2"/>
  <c r="J109" i="2"/>
  <c r="I109" i="2"/>
  <c r="AV108" i="2"/>
  <c r="AU108" i="2"/>
  <c r="AW108" i="2" s="1"/>
  <c r="AS108" i="2"/>
  <c r="AR108" i="2"/>
  <c r="AO108" i="2"/>
  <c r="AN108" i="2"/>
  <c r="AL108" i="2"/>
  <c r="AK108" i="2"/>
  <c r="AH108" i="2"/>
  <c r="AG108" i="2"/>
  <c r="AE108" i="2"/>
  <c r="AD108" i="2"/>
  <c r="AA108" i="2"/>
  <c r="Z108" i="2"/>
  <c r="AB108" i="2" s="1"/>
  <c r="X108" i="2"/>
  <c r="W108" i="2"/>
  <c r="T108" i="2"/>
  <c r="S108" i="2"/>
  <c r="U108" i="2" s="1"/>
  <c r="Q108" i="2"/>
  <c r="P108" i="2"/>
  <c r="M108" i="2"/>
  <c r="L108" i="2"/>
  <c r="J108" i="2"/>
  <c r="I108" i="2"/>
  <c r="AV107" i="2"/>
  <c r="AU107" i="2"/>
  <c r="AS107" i="2"/>
  <c r="AR107" i="2"/>
  <c r="AO107" i="2"/>
  <c r="AN107" i="2"/>
  <c r="AL107" i="2"/>
  <c r="AK107" i="2"/>
  <c r="AH107" i="2"/>
  <c r="AG107" i="2"/>
  <c r="AI107" i="2" s="1"/>
  <c r="AE107" i="2"/>
  <c r="AD107" i="2"/>
  <c r="AA107" i="2"/>
  <c r="Z107" i="2"/>
  <c r="AB107" i="2" s="1"/>
  <c r="X107" i="2"/>
  <c r="W107" i="2"/>
  <c r="Q107" i="2"/>
  <c r="P107" i="2"/>
  <c r="J107" i="2"/>
  <c r="I107" i="2"/>
  <c r="AV106" i="2"/>
  <c r="AU106" i="2"/>
  <c r="AS106" i="2"/>
  <c r="AR106" i="2"/>
  <c r="AO106" i="2"/>
  <c r="AN106" i="2"/>
  <c r="AP106" i="2" s="1"/>
  <c r="AL106" i="2"/>
  <c r="AK106" i="2"/>
  <c r="AH106" i="2"/>
  <c r="AG106" i="2"/>
  <c r="AI106" i="2" s="1"/>
  <c r="AE106" i="2"/>
  <c r="AD106" i="2"/>
  <c r="AA106" i="2"/>
  <c r="Z106" i="2"/>
  <c r="AB106" i="2" s="1"/>
  <c r="X106" i="2"/>
  <c r="W106" i="2"/>
  <c r="T106" i="2"/>
  <c r="S106" i="2"/>
  <c r="Q106" i="2"/>
  <c r="P106" i="2"/>
  <c r="M106" i="2"/>
  <c r="L106" i="2"/>
  <c r="J106" i="2"/>
  <c r="I106" i="2"/>
  <c r="AV105" i="2"/>
  <c r="AU105" i="2"/>
  <c r="AW105" i="2" s="1"/>
  <c r="AS105" i="2"/>
  <c r="AR105" i="2"/>
  <c r="AO105" i="2"/>
  <c r="AN105" i="2"/>
  <c r="AL105" i="2"/>
  <c r="AK105" i="2"/>
  <c r="AH105" i="2"/>
  <c r="AG105" i="2"/>
  <c r="AE105" i="2"/>
  <c r="AD105" i="2"/>
  <c r="AA105" i="2"/>
  <c r="Z105" i="2"/>
  <c r="AB105" i="2" s="1"/>
  <c r="X105" i="2"/>
  <c r="W105" i="2"/>
  <c r="T105" i="2"/>
  <c r="S105" i="2"/>
  <c r="U105" i="2" s="1"/>
  <c r="Q105" i="2"/>
  <c r="P105" i="2"/>
  <c r="M105" i="2"/>
  <c r="L105" i="2"/>
  <c r="J105" i="2"/>
  <c r="I105" i="2"/>
  <c r="AV104" i="2"/>
  <c r="AU104" i="2"/>
  <c r="AS104" i="2"/>
  <c r="AR104" i="2"/>
  <c r="AO104" i="2"/>
  <c r="AN104" i="2"/>
  <c r="AL104" i="2"/>
  <c r="AK104" i="2"/>
  <c r="AH104" i="2"/>
  <c r="AG104" i="2"/>
  <c r="AI104" i="2" s="1"/>
  <c r="AE104" i="2"/>
  <c r="AD104" i="2"/>
  <c r="AA104" i="2"/>
  <c r="Z104" i="2"/>
  <c r="AB104" i="2" s="1"/>
  <c r="X104" i="2"/>
  <c r="W104" i="2"/>
  <c r="T104" i="2"/>
  <c r="S104" i="2"/>
  <c r="Q104" i="2"/>
  <c r="P104" i="2"/>
  <c r="M104" i="2"/>
  <c r="L104" i="2"/>
  <c r="N104" i="2" s="1"/>
  <c r="J104" i="2"/>
  <c r="I104" i="2"/>
  <c r="AV103" i="2"/>
  <c r="AU103" i="2"/>
  <c r="AW103" i="2" s="1"/>
  <c r="AS103" i="2"/>
  <c r="AR103" i="2"/>
  <c r="AO103" i="2"/>
  <c r="AN103" i="2"/>
  <c r="AP103" i="2" s="1"/>
  <c r="AL103" i="2"/>
  <c r="AK103" i="2"/>
  <c r="AH103" i="2"/>
  <c r="AG103" i="2"/>
  <c r="AE103" i="2"/>
  <c r="AD103" i="2"/>
  <c r="AA103" i="2"/>
  <c r="Z103" i="2"/>
  <c r="X103" i="2"/>
  <c r="W103" i="2"/>
  <c r="T103" i="2"/>
  <c r="S103" i="2"/>
  <c r="U103" i="2" s="1"/>
  <c r="Q103" i="2"/>
  <c r="P103" i="2"/>
  <c r="M103" i="2"/>
  <c r="L103" i="2"/>
  <c r="J103" i="2"/>
  <c r="I103" i="2"/>
  <c r="AV102" i="2"/>
  <c r="AU102" i="2"/>
  <c r="AS102" i="2"/>
  <c r="AR102" i="2"/>
  <c r="AO102" i="2"/>
  <c r="AN102" i="2"/>
  <c r="AP102" i="2" s="1"/>
  <c r="AL102" i="2"/>
  <c r="AK102" i="2"/>
  <c r="AH102" i="2"/>
  <c r="AG102" i="2"/>
  <c r="AI102" i="2" s="1"/>
  <c r="AE102" i="2"/>
  <c r="AD102" i="2"/>
  <c r="AA102" i="2"/>
  <c r="Z102" i="2"/>
  <c r="X102" i="2"/>
  <c r="W102" i="2"/>
  <c r="T102" i="2"/>
  <c r="S102" i="2"/>
  <c r="Q102" i="2"/>
  <c r="P102" i="2"/>
  <c r="M102" i="2"/>
  <c r="L102" i="2"/>
  <c r="J102" i="2"/>
  <c r="I102" i="2"/>
  <c r="AV101" i="2"/>
  <c r="AU101" i="2"/>
  <c r="AW101" i="2" s="1"/>
  <c r="AS101" i="2"/>
  <c r="AR101" i="2"/>
  <c r="AO101" i="2"/>
  <c r="AN101" i="2"/>
  <c r="AP101" i="2" s="1"/>
  <c r="AL101" i="2"/>
  <c r="AK101" i="2"/>
  <c r="AH101" i="2"/>
  <c r="AG101" i="2"/>
  <c r="AE101" i="2"/>
  <c r="AD101" i="2"/>
  <c r="AA101" i="2"/>
  <c r="Z101" i="2"/>
  <c r="AB101" i="2" s="1"/>
  <c r="X101" i="2"/>
  <c r="W101" i="2"/>
  <c r="T101" i="2"/>
  <c r="S101" i="2"/>
  <c r="U101" i="2" s="1"/>
  <c r="Q101" i="2"/>
  <c r="P101" i="2"/>
  <c r="M101" i="2"/>
  <c r="L101" i="2"/>
  <c r="N101" i="2" s="1"/>
  <c r="J101" i="2"/>
  <c r="I101" i="2"/>
  <c r="AV100" i="2"/>
  <c r="AU100" i="2"/>
  <c r="AS100" i="2"/>
  <c r="AR100" i="2"/>
  <c r="AO100" i="2"/>
  <c r="AN100" i="2"/>
  <c r="AL100" i="2"/>
  <c r="AK100" i="2"/>
  <c r="AH100" i="2"/>
  <c r="AG100" i="2"/>
  <c r="AI100" i="2" s="1"/>
  <c r="AE100" i="2"/>
  <c r="AD100" i="2"/>
  <c r="AA100" i="2"/>
  <c r="Z100" i="2"/>
  <c r="X100" i="2"/>
  <c r="W100" i="2"/>
  <c r="T100" i="2"/>
  <c r="S100" i="2"/>
  <c r="Q100" i="2"/>
  <c r="P100" i="2"/>
  <c r="M100" i="2"/>
  <c r="L100" i="2"/>
  <c r="N100" i="2" s="1"/>
  <c r="J100" i="2"/>
  <c r="I100" i="2"/>
  <c r="AY99" i="2"/>
  <c r="AV99" i="2"/>
  <c r="AU99" i="2"/>
  <c r="AS99" i="2"/>
  <c r="AR99" i="2"/>
  <c r="AW99" i="2" s="1"/>
  <c r="AO99" i="2"/>
  <c r="AN99" i="2"/>
  <c r="AL99" i="2"/>
  <c r="AK99" i="2"/>
  <c r="AP99" i="2" s="1"/>
  <c r="AH99" i="2"/>
  <c r="AG99" i="2"/>
  <c r="AE99" i="2"/>
  <c r="AD99" i="2"/>
  <c r="AA99" i="2"/>
  <c r="Z99" i="2"/>
  <c r="X99" i="2"/>
  <c r="W99" i="2"/>
  <c r="T99" i="2"/>
  <c r="S99" i="2"/>
  <c r="Q99" i="2"/>
  <c r="P99" i="2"/>
  <c r="M99" i="2"/>
  <c r="L99" i="2"/>
  <c r="J99" i="2"/>
  <c r="I99" i="2"/>
  <c r="N99" i="2" s="1"/>
  <c r="AV98" i="2"/>
  <c r="AU98" i="2"/>
  <c r="AS98" i="2"/>
  <c r="AR98" i="2"/>
  <c r="AO98" i="2"/>
  <c r="AN98" i="2"/>
  <c r="AL98" i="2"/>
  <c r="AK98" i="2"/>
  <c r="AH98" i="2"/>
  <c r="AG98" i="2"/>
  <c r="AE98" i="2"/>
  <c r="AD98" i="2"/>
  <c r="AI98" i="2" s="1"/>
  <c r="AA98" i="2"/>
  <c r="Z98" i="2"/>
  <c r="X98" i="2"/>
  <c r="W98" i="2"/>
  <c r="AB98" i="2" s="1"/>
  <c r="T98" i="2"/>
  <c r="S98" i="2"/>
  <c r="Q98" i="2"/>
  <c r="P98" i="2"/>
  <c r="U98" i="2" s="1"/>
  <c r="M98" i="2"/>
  <c r="L98" i="2"/>
  <c r="J98" i="2"/>
  <c r="I98" i="2"/>
  <c r="AV97" i="2"/>
  <c r="AU97" i="2"/>
  <c r="AS97" i="2"/>
  <c r="AR97" i="2"/>
  <c r="AO97" i="2"/>
  <c r="AN97" i="2"/>
  <c r="AL97" i="2"/>
  <c r="AK97" i="2"/>
  <c r="AP97" i="2" s="1"/>
  <c r="AH97" i="2"/>
  <c r="AG97" i="2"/>
  <c r="AE97" i="2"/>
  <c r="AD97" i="2"/>
  <c r="AI97" i="2" s="1"/>
  <c r="AA97" i="2"/>
  <c r="Z97" i="2"/>
  <c r="X97" i="2"/>
  <c r="W97" i="2"/>
  <c r="T97" i="2"/>
  <c r="S97" i="2"/>
  <c r="Q97" i="2"/>
  <c r="P97" i="2"/>
  <c r="U97" i="2" s="1"/>
  <c r="M97" i="2"/>
  <c r="L97" i="2"/>
  <c r="J97" i="2"/>
  <c r="I97" i="2"/>
  <c r="N97" i="2" s="1"/>
  <c r="AV96" i="2"/>
  <c r="AU96" i="2"/>
  <c r="AS96" i="2"/>
  <c r="AR96" i="2"/>
  <c r="AO96" i="2"/>
  <c r="AN96" i="2"/>
  <c r="AL96" i="2"/>
  <c r="AK96" i="2"/>
  <c r="AH96" i="2"/>
  <c r="AG96" i="2"/>
  <c r="AE96" i="2"/>
  <c r="AD96" i="2"/>
  <c r="AA96" i="2"/>
  <c r="Z96" i="2"/>
  <c r="X96" i="2"/>
  <c r="W96" i="2"/>
  <c r="AB96" i="2" s="1"/>
  <c r="T96" i="2"/>
  <c r="S96" i="2"/>
  <c r="Q96" i="2"/>
  <c r="P96" i="2"/>
  <c r="M96" i="2"/>
  <c r="L96" i="2"/>
  <c r="J96" i="2"/>
  <c r="I96" i="2"/>
  <c r="AV95" i="2"/>
  <c r="AU95" i="2"/>
  <c r="AS95" i="2"/>
  <c r="AR95" i="2"/>
  <c r="AW95" i="2" s="1"/>
  <c r="AO95" i="2"/>
  <c r="AN95" i="2"/>
  <c r="AL95" i="2"/>
  <c r="AK95" i="2"/>
  <c r="AP95" i="2" s="1"/>
  <c r="AH95" i="2"/>
  <c r="AG95" i="2"/>
  <c r="AE95" i="2"/>
  <c r="AD95" i="2"/>
  <c r="AI95" i="2" s="1"/>
  <c r="AA95" i="2"/>
  <c r="Z95" i="2"/>
  <c r="X95" i="2"/>
  <c r="W95" i="2"/>
  <c r="T95" i="2"/>
  <c r="S95" i="2"/>
  <c r="Q95" i="2"/>
  <c r="P95" i="2"/>
  <c r="M95" i="2"/>
  <c r="L95" i="2"/>
  <c r="J95" i="2"/>
  <c r="I95" i="2"/>
  <c r="N95" i="2" s="1"/>
  <c r="AV94" i="2"/>
  <c r="AU94" i="2"/>
  <c r="AS94" i="2"/>
  <c r="AR94" i="2"/>
  <c r="AW94" i="2" s="1"/>
  <c r="AO94" i="2"/>
  <c r="AN94" i="2"/>
  <c r="AL94" i="2"/>
  <c r="AK94" i="2"/>
  <c r="AH94" i="2"/>
  <c r="AG94" i="2"/>
  <c r="AE94" i="2"/>
  <c r="AD94" i="2"/>
  <c r="AI94" i="2" s="1"/>
  <c r="AA94" i="2"/>
  <c r="Z94" i="2"/>
  <c r="X94" i="2"/>
  <c r="W94" i="2"/>
  <c r="AB94" i="2" s="1"/>
  <c r="T94" i="2"/>
  <c r="S94" i="2"/>
  <c r="Q94" i="2"/>
  <c r="P94" i="2"/>
  <c r="M94" i="2"/>
  <c r="L94" i="2"/>
  <c r="J94" i="2"/>
  <c r="I94" i="2"/>
  <c r="AV93" i="2"/>
  <c r="AU93" i="2"/>
  <c r="AS93" i="2"/>
  <c r="AR93" i="2"/>
  <c r="AO93" i="2"/>
  <c r="AN93" i="2"/>
  <c r="AL93" i="2"/>
  <c r="AK93" i="2"/>
  <c r="AP93" i="2" s="1"/>
  <c r="AH93" i="2"/>
  <c r="AG93" i="2"/>
  <c r="AE93" i="2"/>
  <c r="AD93" i="2"/>
  <c r="AA93" i="2"/>
  <c r="Z93" i="2"/>
  <c r="X93" i="2"/>
  <c r="W93" i="2"/>
  <c r="T93" i="2"/>
  <c r="S93" i="2"/>
  <c r="Q93" i="2"/>
  <c r="P93" i="2"/>
  <c r="U93" i="2" s="1"/>
  <c r="M93" i="2"/>
  <c r="L93" i="2"/>
  <c r="J93" i="2"/>
  <c r="I93" i="2"/>
  <c r="N93" i="2" s="1"/>
  <c r="AV92" i="2"/>
  <c r="AU92" i="2"/>
  <c r="AS92" i="2"/>
  <c r="AR92" i="2"/>
  <c r="AW92" i="2" s="1"/>
  <c r="AO92" i="2"/>
  <c r="AN92" i="2"/>
  <c r="AL92" i="2"/>
  <c r="AK92" i="2"/>
  <c r="AH92" i="2"/>
  <c r="AG92" i="2"/>
  <c r="AE92" i="2"/>
  <c r="AD92" i="2"/>
  <c r="AA92" i="2"/>
  <c r="Z92" i="2"/>
  <c r="X92" i="2"/>
  <c r="W92" i="2"/>
  <c r="AB92" i="2" s="1"/>
  <c r="T92" i="2"/>
  <c r="S92" i="2"/>
  <c r="Q92" i="2"/>
  <c r="P92" i="2"/>
  <c r="U92" i="2" s="1"/>
  <c r="M92" i="2"/>
  <c r="L92" i="2"/>
  <c r="J92" i="2"/>
  <c r="I92" i="2"/>
  <c r="AV91" i="2"/>
  <c r="AU91" i="2"/>
  <c r="AS91" i="2"/>
  <c r="AR91" i="2"/>
  <c r="AW91" i="2" s="1"/>
  <c r="AO91" i="2"/>
  <c r="AN91" i="2"/>
  <c r="AL91" i="2"/>
  <c r="AK91" i="2"/>
  <c r="AP91" i="2" s="1"/>
  <c r="AH91" i="2"/>
  <c r="AG91" i="2"/>
  <c r="AE91" i="2"/>
  <c r="AD91" i="2"/>
  <c r="AA91" i="2"/>
  <c r="Z91" i="2"/>
  <c r="X91" i="2"/>
  <c r="W91" i="2"/>
  <c r="T91" i="2"/>
  <c r="S91" i="2"/>
  <c r="Q91" i="2"/>
  <c r="P91" i="2"/>
  <c r="M91" i="2"/>
  <c r="L91" i="2"/>
  <c r="J91" i="2"/>
  <c r="I91" i="2"/>
  <c r="N91" i="2" s="1"/>
  <c r="AV90" i="2"/>
  <c r="AU90" i="2"/>
  <c r="AS90" i="2"/>
  <c r="AR90" i="2"/>
  <c r="AO90" i="2"/>
  <c r="AN90" i="2"/>
  <c r="AL90" i="2"/>
  <c r="AK90" i="2"/>
  <c r="AH90" i="2"/>
  <c r="AG90" i="2"/>
  <c r="AE90" i="2"/>
  <c r="AD90" i="2"/>
  <c r="AI90" i="2" s="1"/>
  <c r="AA90" i="2"/>
  <c r="Z90" i="2"/>
  <c r="X90" i="2"/>
  <c r="W90" i="2"/>
  <c r="AB90" i="2" s="1"/>
  <c r="T90" i="2"/>
  <c r="S90" i="2"/>
  <c r="Q90" i="2"/>
  <c r="P90" i="2"/>
  <c r="U90" i="2" s="1"/>
  <c r="M90" i="2"/>
  <c r="L90" i="2"/>
  <c r="J90" i="2"/>
  <c r="I90" i="2"/>
  <c r="AV89" i="2"/>
  <c r="AU89" i="2"/>
  <c r="AS89" i="2"/>
  <c r="AR89" i="2"/>
  <c r="AO89" i="2"/>
  <c r="AN89" i="2"/>
  <c r="AL89" i="2"/>
  <c r="AK89" i="2"/>
  <c r="AP89" i="2" s="1"/>
  <c r="AH89" i="2"/>
  <c r="AG89" i="2"/>
  <c r="AE89" i="2"/>
  <c r="AD89" i="2"/>
  <c r="AI89" i="2" s="1"/>
  <c r="AA89" i="2"/>
  <c r="Z89" i="2"/>
  <c r="X89" i="2"/>
  <c r="W89" i="2"/>
  <c r="T89" i="2"/>
  <c r="S89" i="2"/>
  <c r="Q89" i="2"/>
  <c r="P89" i="2"/>
  <c r="U89" i="2" s="1"/>
  <c r="M89" i="2"/>
  <c r="L89" i="2"/>
  <c r="J89" i="2"/>
  <c r="I89" i="2"/>
  <c r="N89" i="2" s="1"/>
  <c r="AV88" i="2"/>
  <c r="AU88" i="2"/>
  <c r="AS88" i="2"/>
  <c r="AR88" i="2"/>
  <c r="AO88" i="2"/>
  <c r="AN88" i="2"/>
  <c r="AL88" i="2"/>
  <c r="AK88" i="2"/>
  <c r="AH88" i="2"/>
  <c r="AG88" i="2"/>
  <c r="AE88" i="2"/>
  <c r="AD88" i="2"/>
  <c r="AA88" i="2"/>
  <c r="Z88" i="2"/>
  <c r="X88" i="2"/>
  <c r="W88" i="2"/>
  <c r="AB88" i="2" s="1"/>
  <c r="T88" i="2"/>
  <c r="S88" i="2"/>
  <c r="Q88" i="2"/>
  <c r="P88" i="2"/>
  <c r="M88" i="2"/>
  <c r="L88" i="2"/>
  <c r="J88" i="2"/>
  <c r="I88" i="2"/>
  <c r="AV87" i="2"/>
  <c r="AU87" i="2"/>
  <c r="AS87" i="2"/>
  <c r="AR87" i="2"/>
  <c r="AW87" i="2" s="1"/>
  <c r="AO87" i="2"/>
  <c r="AN87" i="2"/>
  <c r="AL87" i="2"/>
  <c r="AK87" i="2"/>
  <c r="AP87" i="2" s="1"/>
  <c r="AH87" i="2"/>
  <c r="AG87" i="2"/>
  <c r="AE87" i="2"/>
  <c r="AD87" i="2"/>
  <c r="AI87" i="2" s="1"/>
  <c r="AA87" i="2"/>
  <c r="Z87" i="2"/>
  <c r="X87" i="2"/>
  <c r="W87" i="2"/>
  <c r="T87" i="2"/>
  <c r="S87" i="2"/>
  <c r="Q87" i="2"/>
  <c r="P87" i="2"/>
  <c r="M87" i="2"/>
  <c r="L87" i="2"/>
  <c r="J87" i="2"/>
  <c r="I87" i="2"/>
  <c r="N87" i="2" s="1"/>
  <c r="AV86" i="2"/>
  <c r="AU86" i="2"/>
  <c r="AS86" i="2"/>
  <c r="AR86" i="2"/>
  <c r="AW86" i="2" s="1"/>
  <c r="AO86" i="2"/>
  <c r="AN86" i="2"/>
  <c r="AL86" i="2"/>
  <c r="AK86" i="2"/>
  <c r="AH86" i="2"/>
  <c r="AG86" i="2"/>
  <c r="AE86" i="2"/>
  <c r="AD86" i="2"/>
  <c r="AI86" i="2" s="1"/>
  <c r="AA86" i="2"/>
  <c r="Z86" i="2"/>
  <c r="X86" i="2"/>
  <c r="W86" i="2"/>
  <c r="AB86" i="2" s="1"/>
  <c r="T86" i="2"/>
  <c r="S86" i="2"/>
  <c r="Q86" i="2"/>
  <c r="P86" i="2"/>
  <c r="M86" i="2"/>
  <c r="L86" i="2"/>
  <c r="J86" i="2"/>
  <c r="I86" i="2"/>
  <c r="AV85" i="2"/>
  <c r="AU85" i="2"/>
  <c r="AS85" i="2"/>
  <c r="AR85" i="2"/>
  <c r="AO85" i="2"/>
  <c r="AN85" i="2"/>
  <c r="AL85" i="2"/>
  <c r="AK85" i="2"/>
  <c r="AP85" i="2" s="1"/>
  <c r="AH85" i="2"/>
  <c r="AG85" i="2"/>
  <c r="AE85" i="2"/>
  <c r="AD85" i="2"/>
  <c r="Y85" i="2"/>
  <c r="W85" i="2"/>
  <c r="V85" i="2"/>
  <c r="X85" i="2" s="1"/>
  <c r="T85" i="2"/>
  <c r="S85" i="2"/>
  <c r="Q85" i="2"/>
  <c r="P85" i="2"/>
  <c r="K85" i="2"/>
  <c r="I85" i="2"/>
  <c r="H85" i="2"/>
  <c r="J85" i="2" s="1"/>
  <c r="AV84" i="2"/>
  <c r="AU84" i="2"/>
  <c r="AW84" i="2" s="1"/>
  <c r="AS84" i="2"/>
  <c r="AR84" i="2"/>
  <c r="AO84" i="2"/>
  <c r="AN84" i="2"/>
  <c r="AP84" i="2" s="1"/>
  <c r="AL84" i="2"/>
  <c r="AK84" i="2"/>
  <c r="AH84" i="2"/>
  <c r="AG84" i="2"/>
  <c r="AI84" i="2" s="1"/>
  <c r="AE84" i="2"/>
  <c r="AD84" i="2"/>
  <c r="Y84" i="2"/>
  <c r="X84" i="2"/>
  <c r="W84" i="2"/>
  <c r="T84" i="2"/>
  <c r="S84" i="2"/>
  <c r="U84" i="2" s="1"/>
  <c r="Q84" i="2"/>
  <c r="P84" i="2"/>
  <c r="M84" i="2"/>
  <c r="L84" i="2"/>
  <c r="K84" i="2"/>
  <c r="J84" i="2"/>
  <c r="I84" i="2"/>
  <c r="N84" i="2" s="1"/>
  <c r="AV83" i="2"/>
  <c r="AU83" i="2"/>
  <c r="AS83" i="2"/>
  <c r="AR83" i="2"/>
  <c r="AO83" i="2"/>
  <c r="AN83" i="2"/>
  <c r="AL83" i="2"/>
  <c r="AK83" i="2"/>
  <c r="AH83" i="2"/>
  <c r="AG83" i="2"/>
  <c r="AE83" i="2"/>
  <c r="AD83" i="2"/>
  <c r="AA83" i="2"/>
  <c r="Z83" i="2"/>
  <c r="X83" i="2"/>
  <c r="W83" i="2"/>
  <c r="AB83" i="2" s="1"/>
  <c r="T83" i="2"/>
  <c r="S83" i="2"/>
  <c r="Q83" i="2"/>
  <c r="P83" i="2"/>
  <c r="M83" i="2"/>
  <c r="L83" i="2"/>
  <c r="J83" i="2"/>
  <c r="I83" i="2"/>
  <c r="AV82" i="2"/>
  <c r="AU82" i="2"/>
  <c r="AS82" i="2"/>
  <c r="AR82" i="2"/>
  <c r="AW82" i="2" s="1"/>
  <c r="AO82" i="2"/>
  <c r="AN82" i="2"/>
  <c r="AL82" i="2"/>
  <c r="AK82" i="2"/>
  <c r="AP82" i="2" s="1"/>
  <c r="AH82" i="2"/>
  <c r="AG82" i="2"/>
  <c r="AE82" i="2"/>
  <c r="AD82" i="2"/>
  <c r="AI82" i="2" s="1"/>
  <c r="AA82" i="2"/>
  <c r="Z82" i="2"/>
  <c r="X82" i="2"/>
  <c r="W82" i="2"/>
  <c r="T82" i="2"/>
  <c r="S82" i="2"/>
  <c r="Q82" i="2"/>
  <c r="P82" i="2"/>
  <c r="M82" i="2"/>
  <c r="L82" i="2"/>
  <c r="J82" i="2"/>
  <c r="I82" i="2"/>
  <c r="N82" i="2" s="1"/>
  <c r="AU81" i="2"/>
  <c r="AT81" i="2"/>
  <c r="AV81" i="2" s="1"/>
  <c r="AQ81" i="2"/>
  <c r="AO81" i="2"/>
  <c r="AN81" i="2"/>
  <c r="AL81" i="2"/>
  <c r="AK81" i="2"/>
  <c r="AP81" i="2" s="1"/>
  <c r="AH81" i="2"/>
  <c r="AG81" i="2"/>
  <c r="AE81" i="2"/>
  <c r="AD81" i="2"/>
  <c r="AI81" i="2" s="1"/>
  <c r="AA81" i="2"/>
  <c r="Y81" i="2"/>
  <c r="Z81" i="2" s="1"/>
  <c r="V81" i="2"/>
  <c r="X81" i="2" s="1"/>
  <c r="T81" i="2"/>
  <c r="S81" i="2"/>
  <c r="Q81" i="2"/>
  <c r="P81" i="2"/>
  <c r="U81" i="2" s="1"/>
  <c r="K81" i="2"/>
  <c r="H81" i="2"/>
  <c r="J81" i="2" s="1"/>
  <c r="AT80" i="2"/>
  <c r="AQ80" i="2"/>
  <c r="AR80" i="2" s="1"/>
  <c r="AO80" i="2"/>
  <c r="AN80" i="2"/>
  <c r="AL80" i="2"/>
  <c r="AK80" i="2"/>
  <c r="AH80" i="2"/>
  <c r="AG80" i="2"/>
  <c r="AE80" i="2"/>
  <c r="AD80" i="2"/>
  <c r="Y80" i="2"/>
  <c r="W80" i="2"/>
  <c r="V80" i="2"/>
  <c r="X80" i="2" s="1"/>
  <c r="T80" i="2"/>
  <c r="S80" i="2"/>
  <c r="Q80" i="2"/>
  <c r="P80" i="2"/>
  <c r="K80" i="2"/>
  <c r="L80" i="2" s="1"/>
  <c r="I80" i="2"/>
  <c r="H80" i="2"/>
  <c r="J80" i="2" s="1"/>
  <c r="AV79" i="2"/>
  <c r="AU79" i="2"/>
  <c r="AS79" i="2"/>
  <c r="AR79" i="2"/>
  <c r="AO79" i="2"/>
  <c r="AN79" i="2"/>
  <c r="AP79" i="2" s="1"/>
  <c r="AL79" i="2"/>
  <c r="AK79" i="2"/>
  <c r="AH79" i="2"/>
  <c r="AG79" i="2"/>
  <c r="AI79" i="2" s="1"/>
  <c r="AE79" i="2"/>
  <c r="AD79" i="2"/>
  <c r="AA79" i="2"/>
  <c r="Z79" i="2"/>
  <c r="X79" i="2"/>
  <c r="W79" i="2"/>
  <c r="T79" i="2"/>
  <c r="S79" i="2"/>
  <c r="U79" i="2" s="1"/>
  <c r="Q79" i="2"/>
  <c r="P79" i="2"/>
  <c r="M79" i="2"/>
  <c r="L79" i="2"/>
  <c r="N79" i="2" s="1"/>
  <c r="J79" i="2"/>
  <c r="I79" i="2"/>
  <c r="AV78" i="2"/>
  <c r="AU78" i="2"/>
  <c r="AS78" i="2"/>
  <c r="AR78" i="2"/>
  <c r="AO78" i="2"/>
  <c r="AN78" i="2"/>
  <c r="AL78" i="2"/>
  <c r="AK78" i="2"/>
  <c r="AH78" i="2"/>
  <c r="AG78" i="2"/>
  <c r="AI78" i="2" s="1"/>
  <c r="AE78" i="2"/>
  <c r="AD78" i="2"/>
  <c r="AA78" i="2"/>
  <c r="Z78" i="2"/>
  <c r="AB78" i="2" s="1"/>
  <c r="X78" i="2"/>
  <c r="W78" i="2"/>
  <c r="T78" i="2"/>
  <c r="S78" i="2"/>
  <c r="U78" i="2" s="1"/>
  <c r="Q78" i="2"/>
  <c r="P78" i="2"/>
  <c r="M78" i="2"/>
  <c r="L78" i="2"/>
  <c r="J78" i="2"/>
  <c r="I78" i="2"/>
  <c r="AV77" i="2"/>
  <c r="AU77" i="2"/>
  <c r="AS77" i="2"/>
  <c r="AR77" i="2"/>
  <c r="AO77" i="2"/>
  <c r="AN77" i="2"/>
  <c r="AP77" i="2" s="1"/>
  <c r="AL77" i="2"/>
  <c r="AK77" i="2"/>
  <c r="AH77" i="2"/>
  <c r="AG77" i="2"/>
  <c r="AE77" i="2"/>
  <c r="AD77" i="2"/>
  <c r="AA77" i="2"/>
  <c r="Z77" i="2"/>
  <c r="X77" i="2"/>
  <c r="W77" i="2"/>
  <c r="T77" i="2"/>
  <c r="S77" i="2"/>
  <c r="Q77" i="2"/>
  <c r="P77" i="2"/>
  <c r="M77" i="2"/>
  <c r="L77" i="2"/>
  <c r="N77" i="2" s="1"/>
  <c r="J77" i="2"/>
  <c r="I77" i="2"/>
  <c r="AV76" i="2"/>
  <c r="AU76" i="2"/>
  <c r="AW76" i="2" s="1"/>
  <c r="AS76" i="2"/>
  <c r="AR76" i="2"/>
  <c r="AO76" i="2"/>
  <c r="AN76" i="2"/>
  <c r="AL76" i="2"/>
  <c r="AK76" i="2"/>
  <c r="AF76" i="2"/>
  <c r="AE76" i="2"/>
  <c r="AD76" i="2"/>
  <c r="AA76" i="2"/>
  <c r="Z76" i="2"/>
  <c r="Y76" i="2"/>
  <c r="V76" i="2"/>
  <c r="T76" i="2"/>
  <c r="S76" i="2"/>
  <c r="U76" i="2" s="1"/>
  <c r="Q76" i="2"/>
  <c r="P76" i="2"/>
  <c r="M76" i="2"/>
  <c r="L76" i="2"/>
  <c r="N76" i="2" s="1"/>
  <c r="J76" i="2"/>
  <c r="I76" i="2"/>
  <c r="AV75" i="2"/>
  <c r="AU75" i="2"/>
  <c r="AS75" i="2"/>
  <c r="AR75" i="2"/>
  <c r="AO75" i="2"/>
  <c r="AN75" i="2"/>
  <c r="AP75" i="2" s="1"/>
  <c r="AL75" i="2"/>
  <c r="AK75" i="2"/>
  <c r="AH75" i="2"/>
  <c r="AG75" i="2"/>
  <c r="AI75" i="2" s="1"/>
  <c r="AE75" i="2"/>
  <c r="AD75" i="2"/>
  <c r="AA75" i="2"/>
  <c r="Z75" i="2"/>
  <c r="X75" i="2"/>
  <c r="W75" i="2"/>
  <c r="T75" i="2"/>
  <c r="S75" i="2"/>
  <c r="Q75" i="2"/>
  <c r="P75" i="2"/>
  <c r="M75" i="2"/>
  <c r="L75" i="2"/>
  <c r="N75" i="2" s="1"/>
  <c r="J75" i="2"/>
  <c r="I75" i="2"/>
  <c r="AV74" i="2"/>
  <c r="AU74" i="2"/>
  <c r="AW74" i="2" s="1"/>
  <c r="AS74" i="2"/>
  <c r="AR74" i="2"/>
  <c r="AO74" i="2"/>
  <c r="AN74" i="2"/>
  <c r="AL74" i="2"/>
  <c r="AK74" i="2"/>
  <c r="AH74" i="2"/>
  <c r="AG74" i="2"/>
  <c r="AE74" i="2"/>
  <c r="AD74" i="2"/>
  <c r="AA74" i="2"/>
  <c r="Z74" i="2"/>
  <c r="AB74" i="2" s="1"/>
  <c r="X74" i="2"/>
  <c r="W74" i="2"/>
  <c r="T74" i="2"/>
  <c r="S74" i="2"/>
  <c r="U74" i="2" s="1"/>
  <c r="Q74" i="2"/>
  <c r="P74" i="2"/>
  <c r="M74" i="2"/>
  <c r="L74" i="2"/>
  <c r="N74" i="2" s="1"/>
  <c r="J74" i="2"/>
  <c r="I74" i="2"/>
  <c r="AV73" i="2"/>
  <c r="AU73" i="2"/>
  <c r="AS73" i="2"/>
  <c r="AR73" i="2"/>
  <c r="AO73" i="2"/>
  <c r="AN73" i="2"/>
  <c r="AL73" i="2"/>
  <c r="AK73" i="2"/>
  <c r="AH73" i="2"/>
  <c r="AG73" i="2"/>
  <c r="AI73" i="2" s="1"/>
  <c r="AE73" i="2"/>
  <c r="AD73" i="2"/>
  <c r="AA73" i="2"/>
  <c r="Z73" i="2"/>
  <c r="X73" i="2"/>
  <c r="W73" i="2"/>
  <c r="T73" i="2"/>
  <c r="S73" i="2"/>
  <c r="Q73" i="2"/>
  <c r="P73" i="2"/>
  <c r="M73" i="2"/>
  <c r="L73" i="2"/>
  <c r="J73" i="2"/>
  <c r="I73" i="2"/>
  <c r="AV72" i="2"/>
  <c r="AU72" i="2"/>
  <c r="AW72" i="2" s="1"/>
  <c r="AS72" i="2"/>
  <c r="AR72" i="2"/>
  <c r="AO72" i="2"/>
  <c r="AN72" i="2"/>
  <c r="AL72" i="2"/>
  <c r="AK72" i="2"/>
  <c r="AH72" i="2"/>
  <c r="AG72" i="2"/>
  <c r="AE72" i="2"/>
  <c r="AD72" i="2"/>
  <c r="AA72" i="2"/>
  <c r="Z72" i="2"/>
  <c r="AB72" i="2" s="1"/>
  <c r="X72" i="2"/>
  <c r="W72" i="2"/>
  <c r="T72" i="2"/>
  <c r="S72" i="2"/>
  <c r="U72" i="2" s="1"/>
  <c r="Q72" i="2"/>
  <c r="P72" i="2"/>
  <c r="M72" i="2"/>
  <c r="L72" i="2"/>
  <c r="N72" i="2" s="1"/>
  <c r="J72" i="2"/>
  <c r="I72" i="2"/>
  <c r="AV71" i="2"/>
  <c r="AU71" i="2"/>
  <c r="AS71" i="2"/>
  <c r="AR71" i="2"/>
  <c r="AO71" i="2"/>
  <c r="AN71" i="2"/>
  <c r="AL71" i="2"/>
  <c r="AK71" i="2"/>
  <c r="AH71" i="2"/>
  <c r="AG71" i="2"/>
  <c r="AI71" i="2" s="1"/>
  <c r="AE71" i="2"/>
  <c r="AD71" i="2"/>
  <c r="AA71" i="2"/>
  <c r="Z71" i="2"/>
  <c r="X71" i="2"/>
  <c r="W71" i="2"/>
  <c r="T71" i="2"/>
  <c r="S71" i="2"/>
  <c r="Q71" i="2"/>
  <c r="P71" i="2"/>
  <c r="M71" i="2"/>
  <c r="L71" i="2"/>
  <c r="N71" i="2" s="1"/>
  <c r="J71" i="2"/>
  <c r="I71" i="2"/>
  <c r="AV70" i="2"/>
  <c r="AU70" i="2"/>
  <c r="AW70" i="2" s="1"/>
  <c r="AS70" i="2"/>
  <c r="AR70" i="2"/>
  <c r="AO70" i="2"/>
  <c r="AN70" i="2"/>
  <c r="AP70" i="2" s="1"/>
  <c r="AL70" i="2"/>
  <c r="AK70" i="2"/>
  <c r="AH70" i="2"/>
  <c r="AG70" i="2"/>
  <c r="AE70" i="2"/>
  <c r="AD70" i="2"/>
  <c r="AA70" i="2"/>
  <c r="Z70" i="2"/>
  <c r="X70" i="2"/>
  <c r="W70" i="2"/>
  <c r="T70" i="2"/>
  <c r="S70" i="2"/>
  <c r="U70" i="2" s="1"/>
  <c r="Q70" i="2"/>
  <c r="P70" i="2"/>
  <c r="M70" i="2"/>
  <c r="L70" i="2"/>
  <c r="J70" i="2"/>
  <c r="I70" i="2"/>
  <c r="AV69" i="2"/>
  <c r="AU69" i="2"/>
  <c r="AS69" i="2"/>
  <c r="AR69" i="2"/>
  <c r="AO69" i="2"/>
  <c r="AN69" i="2"/>
  <c r="AP69" i="2" s="1"/>
  <c r="AL69" i="2"/>
  <c r="AK69" i="2"/>
  <c r="AH69" i="2"/>
  <c r="AG69" i="2"/>
  <c r="AI69" i="2" s="1"/>
  <c r="AE69" i="2"/>
  <c r="AD69" i="2"/>
  <c r="AA69" i="2"/>
  <c r="Z69" i="2"/>
  <c r="AB69" i="2" s="1"/>
  <c r="X69" i="2"/>
  <c r="W69" i="2"/>
  <c r="T69" i="2"/>
  <c r="S69" i="2"/>
  <c r="Q69" i="2"/>
  <c r="P69" i="2"/>
  <c r="M69" i="2"/>
  <c r="L69" i="2"/>
  <c r="J69" i="2"/>
  <c r="I69" i="2"/>
  <c r="AV68" i="2"/>
  <c r="AU68" i="2"/>
  <c r="AW68" i="2" s="1"/>
  <c r="AS68" i="2"/>
  <c r="AR68" i="2"/>
  <c r="AO68" i="2"/>
  <c r="AN68" i="2"/>
  <c r="AL68" i="2"/>
  <c r="AK68" i="2"/>
  <c r="AH68" i="2"/>
  <c r="AG68" i="2"/>
  <c r="AE68" i="2"/>
  <c r="AD68" i="2"/>
  <c r="AA68" i="2"/>
  <c r="Z68" i="2"/>
  <c r="AB68" i="2" s="1"/>
  <c r="X68" i="2"/>
  <c r="W68" i="2"/>
  <c r="T68" i="2"/>
  <c r="S68" i="2"/>
  <c r="U68" i="2" s="1"/>
  <c r="Q68" i="2"/>
  <c r="P68" i="2"/>
  <c r="M68" i="2"/>
  <c r="L68" i="2"/>
  <c r="N68" i="2" s="1"/>
  <c r="J68" i="2"/>
  <c r="I68" i="2"/>
  <c r="AV67" i="2"/>
  <c r="AU67" i="2"/>
  <c r="AS67" i="2"/>
  <c r="AR67" i="2"/>
  <c r="AO67" i="2"/>
  <c r="AN67" i="2"/>
  <c r="AL67" i="2"/>
  <c r="AK67" i="2"/>
  <c r="AH67" i="2"/>
  <c r="AG67" i="2"/>
  <c r="AI67" i="2" s="1"/>
  <c r="AE67" i="2"/>
  <c r="AD67" i="2"/>
  <c r="AA67" i="2"/>
  <c r="Z67" i="2"/>
  <c r="X67" i="2"/>
  <c r="W67" i="2"/>
  <c r="T67" i="2"/>
  <c r="S67" i="2"/>
  <c r="Q67" i="2"/>
  <c r="P67" i="2"/>
  <c r="M67" i="2"/>
  <c r="L67" i="2"/>
  <c r="N67" i="2" s="1"/>
  <c r="J67" i="2"/>
  <c r="I67" i="2"/>
  <c r="AV66" i="2"/>
  <c r="AU66" i="2"/>
  <c r="AW66" i="2" s="1"/>
  <c r="AS66" i="2"/>
  <c r="AR66" i="2"/>
  <c r="AO66" i="2"/>
  <c r="AN66" i="2"/>
  <c r="AP66" i="2" s="1"/>
  <c r="AL66" i="2"/>
  <c r="AK66" i="2"/>
  <c r="AH66" i="2"/>
  <c r="AG66" i="2"/>
  <c r="AE66" i="2"/>
  <c r="AD66" i="2"/>
  <c r="AA66" i="2"/>
  <c r="Z66" i="2"/>
  <c r="X66" i="2"/>
  <c r="W66" i="2"/>
  <c r="T66" i="2"/>
  <c r="S66" i="2"/>
  <c r="U66" i="2" s="1"/>
  <c r="Q66" i="2"/>
  <c r="P66" i="2"/>
  <c r="M66" i="2"/>
  <c r="L66" i="2"/>
  <c r="J66" i="2"/>
  <c r="I66" i="2"/>
  <c r="AV65" i="2"/>
  <c r="AU65" i="2"/>
  <c r="AS65" i="2"/>
  <c r="AR65" i="2"/>
  <c r="AO65" i="2"/>
  <c r="AN65" i="2"/>
  <c r="AP65" i="2" s="1"/>
  <c r="AL65" i="2"/>
  <c r="AK65" i="2"/>
  <c r="AH65" i="2"/>
  <c r="AG65" i="2"/>
  <c r="AI65" i="2" s="1"/>
  <c r="AE65" i="2"/>
  <c r="AD65" i="2"/>
  <c r="AA65" i="2"/>
  <c r="Z65" i="2"/>
  <c r="AB65" i="2" s="1"/>
  <c r="X65" i="2"/>
  <c r="W65" i="2"/>
  <c r="T65" i="2"/>
  <c r="S65" i="2"/>
  <c r="Q65" i="2"/>
  <c r="P65" i="2"/>
  <c r="M65" i="2"/>
  <c r="L65" i="2"/>
  <c r="J65" i="2"/>
  <c r="I65" i="2"/>
  <c r="AT64" i="2"/>
  <c r="AS64" i="2"/>
  <c r="AR64" i="2"/>
  <c r="AO64" i="2"/>
  <c r="AN64" i="2"/>
  <c r="AL64" i="2"/>
  <c r="AK64" i="2"/>
  <c r="AH64" i="2"/>
  <c r="AG64" i="2"/>
  <c r="AE64" i="2"/>
  <c r="AD64" i="2"/>
  <c r="AA64" i="2"/>
  <c r="Z64" i="2"/>
  <c r="AB64" i="2" s="1"/>
  <c r="X64" i="2"/>
  <c r="W64" i="2"/>
  <c r="T64" i="2"/>
  <c r="S64" i="2"/>
  <c r="U64" i="2" s="1"/>
  <c r="Q64" i="2"/>
  <c r="P64" i="2"/>
  <c r="M64" i="2"/>
  <c r="L64" i="2"/>
  <c r="J64" i="2"/>
  <c r="I64" i="2"/>
  <c r="AV63" i="2"/>
  <c r="AU63" i="2"/>
  <c r="AW63" i="2" s="1"/>
  <c r="AS63" i="2"/>
  <c r="AR63" i="2"/>
  <c r="AO63" i="2"/>
  <c r="AN63" i="2"/>
  <c r="AP63" i="2" s="1"/>
  <c r="AL63" i="2"/>
  <c r="AK63" i="2"/>
  <c r="AH63" i="2"/>
  <c r="AG63" i="2"/>
  <c r="AE63" i="2"/>
  <c r="AD63" i="2"/>
  <c r="AA63" i="2"/>
  <c r="Z63" i="2"/>
  <c r="X63" i="2"/>
  <c r="W63" i="2"/>
  <c r="T63" i="2"/>
  <c r="S63" i="2"/>
  <c r="Q63" i="2"/>
  <c r="P63" i="2"/>
  <c r="M63" i="2"/>
  <c r="L63" i="2"/>
  <c r="N63" i="2" s="1"/>
  <c r="J63" i="2"/>
  <c r="I63" i="2"/>
  <c r="AV62" i="2"/>
  <c r="AU62" i="2"/>
  <c r="AW62" i="2" s="1"/>
  <c r="AS62" i="2"/>
  <c r="AR62" i="2"/>
  <c r="AO62" i="2"/>
  <c r="AN62" i="2"/>
  <c r="AL62" i="2"/>
  <c r="AK62" i="2"/>
  <c r="AH62" i="2"/>
  <c r="AG62" i="2"/>
  <c r="AI62" i="2" s="1"/>
  <c r="AE62" i="2"/>
  <c r="AD62" i="2"/>
  <c r="AA62" i="2"/>
  <c r="Z62" i="2"/>
  <c r="AB62" i="2" s="1"/>
  <c r="X62" i="2"/>
  <c r="W62" i="2"/>
  <c r="T62" i="2"/>
  <c r="S62" i="2"/>
  <c r="Q62" i="2"/>
  <c r="P62" i="2"/>
  <c r="M62" i="2"/>
  <c r="L62" i="2"/>
  <c r="J62" i="2"/>
  <c r="I62" i="2"/>
  <c r="AV61" i="2"/>
  <c r="AU61" i="2"/>
  <c r="AS61" i="2"/>
  <c r="AR61" i="2"/>
  <c r="AO61" i="2"/>
  <c r="AN61" i="2"/>
  <c r="AP61" i="2" s="1"/>
  <c r="AL61" i="2"/>
  <c r="AK61" i="2"/>
  <c r="AH61" i="2"/>
  <c r="AG61" i="2"/>
  <c r="AI61" i="2" s="1"/>
  <c r="AE61" i="2"/>
  <c r="AD61" i="2"/>
  <c r="AA61" i="2"/>
  <c r="Z61" i="2"/>
  <c r="X61" i="2"/>
  <c r="W61" i="2"/>
  <c r="T61" i="2"/>
  <c r="S61" i="2"/>
  <c r="U61" i="2" s="1"/>
  <c r="Q61" i="2"/>
  <c r="P61" i="2"/>
  <c r="M61" i="2"/>
  <c r="L61" i="2"/>
  <c r="N61" i="2" s="1"/>
  <c r="J61" i="2"/>
  <c r="I61" i="2"/>
  <c r="AV60" i="2"/>
  <c r="AU60" i="2"/>
  <c r="AT60" i="2"/>
  <c r="AQ60" i="2"/>
  <c r="AO60" i="2"/>
  <c r="AN60" i="2"/>
  <c r="AP60" i="2" s="1"/>
  <c r="AL60" i="2"/>
  <c r="AK60" i="2"/>
  <c r="AH60" i="2"/>
  <c r="AG60" i="2"/>
  <c r="AI60" i="2" s="1"/>
  <c r="AE60" i="2"/>
  <c r="AD60" i="2"/>
  <c r="Y60" i="2"/>
  <c r="W60" i="2"/>
  <c r="V60" i="2"/>
  <c r="X60" i="2" s="1"/>
  <c r="T60" i="2"/>
  <c r="S60" i="2"/>
  <c r="Q60" i="2"/>
  <c r="P60" i="2"/>
  <c r="U60" i="2" s="1"/>
  <c r="M60" i="2"/>
  <c r="K60" i="2"/>
  <c r="L60" i="2" s="1"/>
  <c r="H60" i="2"/>
  <c r="AV59" i="2"/>
  <c r="AU59" i="2"/>
  <c r="AS59" i="2"/>
  <c r="AR59" i="2"/>
  <c r="AO59" i="2"/>
  <c r="AN59" i="2"/>
  <c r="AL59" i="2"/>
  <c r="AK59" i="2"/>
  <c r="AP59" i="2" s="1"/>
  <c r="AH59" i="2"/>
  <c r="AG59" i="2"/>
  <c r="AE59" i="2"/>
  <c r="AD59" i="2"/>
  <c r="AA59" i="2"/>
  <c r="Z59" i="2"/>
  <c r="X59" i="2"/>
  <c r="W59" i="2"/>
  <c r="T59" i="2"/>
  <c r="S59" i="2"/>
  <c r="Q59" i="2"/>
  <c r="P59" i="2"/>
  <c r="U59" i="2" s="1"/>
  <c r="M59" i="2"/>
  <c r="L59" i="2"/>
  <c r="J59" i="2"/>
  <c r="I59" i="2"/>
  <c r="N59" i="2" s="1"/>
  <c r="AV58" i="2"/>
  <c r="AU58" i="2"/>
  <c r="AS58" i="2"/>
  <c r="AR58" i="2"/>
  <c r="AW58" i="2" s="1"/>
  <c r="AO58" i="2"/>
  <c r="AN58" i="2"/>
  <c r="AL58" i="2"/>
  <c r="AK58" i="2"/>
  <c r="AH58" i="2"/>
  <c r="AG58" i="2"/>
  <c r="AE58" i="2"/>
  <c r="AD58" i="2"/>
  <c r="AA58" i="2"/>
  <c r="Z58" i="2"/>
  <c r="X58" i="2"/>
  <c r="W58" i="2"/>
  <c r="AB58" i="2" s="1"/>
  <c r="T58" i="2"/>
  <c r="S58" i="2"/>
  <c r="Q58" i="2"/>
  <c r="P58" i="2"/>
  <c r="M58" i="2"/>
  <c r="L58" i="2"/>
  <c r="J58" i="2"/>
  <c r="I58" i="2"/>
  <c r="AV57" i="2"/>
  <c r="AU57" i="2"/>
  <c r="AS57" i="2"/>
  <c r="AR57" i="2"/>
  <c r="AW57" i="2" s="1"/>
  <c r="AO57" i="2"/>
  <c r="AN57" i="2"/>
  <c r="AL57" i="2"/>
  <c r="AK57" i="2"/>
  <c r="AP57" i="2" s="1"/>
  <c r="AH57" i="2"/>
  <c r="AG57" i="2"/>
  <c r="AE57" i="2"/>
  <c r="AD57" i="2"/>
  <c r="AI57" i="2" s="1"/>
  <c r="AA57" i="2"/>
  <c r="Z57" i="2"/>
  <c r="X57" i="2"/>
  <c r="W57" i="2"/>
  <c r="T57" i="2"/>
  <c r="S57" i="2"/>
  <c r="Q57" i="2"/>
  <c r="P57" i="2"/>
  <c r="M57" i="2"/>
  <c r="L57" i="2"/>
  <c r="J57" i="2"/>
  <c r="I57" i="2"/>
  <c r="N57" i="2" s="1"/>
  <c r="AV56" i="2"/>
  <c r="AU56" i="2"/>
  <c r="AS56" i="2"/>
  <c r="AR56" i="2"/>
  <c r="AO56" i="2"/>
  <c r="AN56" i="2"/>
  <c r="AL56" i="2"/>
  <c r="AK56" i="2"/>
  <c r="AH56" i="2"/>
  <c r="AG56" i="2"/>
  <c r="AE56" i="2"/>
  <c r="AD56" i="2"/>
  <c r="AI56" i="2" s="1"/>
  <c r="AA56" i="2"/>
  <c r="Z56" i="2"/>
  <c r="X56" i="2"/>
  <c r="W56" i="2"/>
  <c r="AB56" i="2" s="1"/>
  <c r="T56" i="2"/>
  <c r="S56" i="2"/>
  <c r="Q56" i="2"/>
  <c r="P56" i="2"/>
  <c r="U56" i="2" s="1"/>
  <c r="M56" i="2"/>
  <c r="L56" i="2"/>
  <c r="J56" i="2"/>
  <c r="I56" i="2"/>
  <c r="AV55" i="2"/>
  <c r="AU55" i="2"/>
  <c r="AS55" i="2"/>
  <c r="AR55" i="2"/>
  <c r="AO55" i="2"/>
  <c r="AN55" i="2"/>
  <c r="AL55" i="2"/>
  <c r="AK55" i="2"/>
  <c r="AP55" i="2" s="1"/>
  <c r="AH55" i="2"/>
  <c r="AG55" i="2"/>
  <c r="AE55" i="2"/>
  <c r="AD55" i="2"/>
  <c r="AA55" i="2"/>
  <c r="Z55" i="2"/>
  <c r="X55" i="2"/>
  <c r="W55" i="2"/>
  <c r="T55" i="2"/>
  <c r="S55" i="2"/>
  <c r="Q55" i="2"/>
  <c r="P55" i="2"/>
  <c r="U55" i="2" s="1"/>
  <c r="M55" i="2"/>
  <c r="L55" i="2"/>
  <c r="J55" i="2"/>
  <c r="I55" i="2"/>
  <c r="N55" i="2" s="1"/>
  <c r="AV54" i="2"/>
  <c r="AU54" i="2"/>
  <c r="AS54" i="2"/>
  <c r="AR54" i="2"/>
  <c r="AW54" i="2" s="1"/>
  <c r="AO54" i="2"/>
  <c r="AN54" i="2"/>
  <c r="AL54" i="2"/>
  <c r="AK54" i="2"/>
  <c r="AH54" i="2"/>
  <c r="AG54" i="2"/>
  <c r="AE54" i="2"/>
  <c r="AD54" i="2"/>
  <c r="AA54" i="2"/>
  <c r="Z54" i="2"/>
  <c r="X54" i="2"/>
  <c r="W54" i="2"/>
  <c r="AB54" i="2" s="1"/>
  <c r="T54" i="2"/>
  <c r="S54" i="2"/>
  <c r="Q54" i="2"/>
  <c r="P54" i="2"/>
  <c r="M54" i="2"/>
  <c r="L54" i="2"/>
  <c r="J54" i="2"/>
  <c r="I54" i="2"/>
  <c r="AV53" i="2"/>
  <c r="AU53" i="2"/>
  <c r="AS53" i="2"/>
  <c r="AR53" i="2"/>
  <c r="AW53" i="2" s="1"/>
  <c r="AO53" i="2"/>
  <c r="AN53" i="2"/>
  <c r="AL53" i="2"/>
  <c r="AK53" i="2"/>
  <c r="AP53" i="2" s="1"/>
  <c r="AH53" i="2"/>
  <c r="AG53" i="2"/>
  <c r="AE53" i="2"/>
  <c r="AD53" i="2"/>
  <c r="AI53" i="2" s="1"/>
  <c r="AA53" i="2"/>
  <c r="Z53" i="2"/>
  <c r="X53" i="2"/>
  <c r="W53" i="2"/>
  <c r="T53" i="2"/>
  <c r="S53" i="2"/>
  <c r="Q53" i="2"/>
  <c r="P53" i="2"/>
  <c r="M53" i="2"/>
  <c r="L53" i="2"/>
  <c r="J53" i="2"/>
  <c r="I53" i="2"/>
  <c r="N53" i="2" s="1"/>
  <c r="AV52" i="2"/>
  <c r="AU52" i="2"/>
  <c r="AS52" i="2"/>
  <c r="AR52" i="2"/>
  <c r="AO52" i="2"/>
  <c r="AN52" i="2"/>
  <c r="AL52" i="2"/>
  <c r="AK52" i="2"/>
  <c r="AH52" i="2"/>
  <c r="AG52" i="2"/>
  <c r="AE52" i="2"/>
  <c r="AD52" i="2"/>
  <c r="AI52" i="2" s="1"/>
  <c r="AA52" i="2"/>
  <c r="Z52" i="2"/>
  <c r="X52" i="2"/>
  <c r="W52" i="2"/>
  <c r="AB52" i="2" s="1"/>
  <c r="T52" i="2"/>
  <c r="S52" i="2"/>
  <c r="Q52" i="2"/>
  <c r="P52" i="2"/>
  <c r="U52" i="2" s="1"/>
  <c r="M52" i="2"/>
  <c r="L52" i="2"/>
  <c r="J52" i="2"/>
  <c r="I52" i="2"/>
  <c r="AV51" i="2"/>
  <c r="AU51" i="2"/>
  <c r="AS51" i="2"/>
  <c r="AR51" i="2"/>
  <c r="AO51" i="2"/>
  <c r="AN51" i="2"/>
  <c r="AL51" i="2"/>
  <c r="AK51" i="2"/>
  <c r="AP51" i="2" s="1"/>
  <c r="AH51" i="2"/>
  <c r="AG51" i="2"/>
  <c r="AE51" i="2"/>
  <c r="AD51" i="2"/>
  <c r="AA51" i="2"/>
  <c r="Z51" i="2"/>
  <c r="X51" i="2"/>
  <c r="W51" i="2"/>
  <c r="T51" i="2"/>
  <c r="S51" i="2"/>
  <c r="Q51" i="2"/>
  <c r="P51" i="2"/>
  <c r="U51" i="2" s="1"/>
  <c r="M51" i="2"/>
  <c r="L51" i="2"/>
  <c r="J51" i="2"/>
  <c r="I51" i="2"/>
  <c r="N51" i="2" s="1"/>
  <c r="AV50" i="2"/>
  <c r="AU50" i="2"/>
  <c r="AS50" i="2"/>
  <c r="AR50" i="2"/>
  <c r="AW50" i="2" s="1"/>
  <c r="AO50" i="2"/>
  <c r="AN50" i="2"/>
  <c r="AL50" i="2"/>
  <c r="AK50" i="2"/>
  <c r="AH50" i="2"/>
  <c r="AG50" i="2"/>
  <c r="AE50" i="2"/>
  <c r="AD50" i="2"/>
  <c r="AA50" i="2"/>
  <c r="Z50" i="2"/>
  <c r="X50" i="2"/>
  <c r="W50" i="2"/>
  <c r="AB50" i="2" s="1"/>
  <c r="T50" i="2"/>
  <c r="S50" i="2"/>
  <c r="Q50" i="2"/>
  <c r="P50" i="2"/>
  <c r="M50" i="2"/>
  <c r="L50" i="2"/>
  <c r="J50" i="2"/>
  <c r="I50" i="2"/>
  <c r="AV49" i="2"/>
  <c r="AU49" i="2"/>
  <c r="AS49" i="2"/>
  <c r="AR49" i="2"/>
  <c r="AW49" i="2" s="1"/>
  <c r="AO49" i="2"/>
  <c r="AN49" i="2"/>
  <c r="AL49" i="2"/>
  <c r="AK49" i="2"/>
  <c r="AP49" i="2" s="1"/>
  <c r="AF49" i="2"/>
  <c r="AH49" i="2" s="1"/>
  <c r="AC49" i="2"/>
  <c r="AA49" i="2"/>
  <c r="Z49" i="2"/>
  <c r="V49" i="2"/>
  <c r="T49" i="2"/>
  <c r="S49" i="2"/>
  <c r="U49" i="2" s="1"/>
  <c r="Q49" i="2"/>
  <c r="P49" i="2"/>
  <c r="M49" i="2"/>
  <c r="L49" i="2"/>
  <c r="N49" i="2" s="1"/>
  <c r="J49" i="2"/>
  <c r="I49" i="2"/>
  <c r="AV48" i="2"/>
  <c r="AU48" i="2"/>
  <c r="AS48" i="2"/>
  <c r="AR48" i="2"/>
  <c r="AO48" i="2"/>
  <c r="AN48" i="2"/>
  <c r="AP48" i="2" s="1"/>
  <c r="AL48" i="2"/>
  <c r="AK48" i="2"/>
  <c r="AH48" i="2"/>
  <c r="AG48" i="2"/>
  <c r="AI48" i="2" s="1"/>
  <c r="AE48" i="2"/>
  <c r="AD48" i="2"/>
  <c r="AA48" i="2"/>
  <c r="Z48" i="2"/>
  <c r="X48" i="2"/>
  <c r="W48" i="2"/>
  <c r="T48" i="2"/>
  <c r="S48" i="2"/>
  <c r="Q48" i="2"/>
  <c r="P48" i="2"/>
  <c r="M48" i="2"/>
  <c r="L48" i="2"/>
  <c r="J48" i="2"/>
  <c r="I48" i="2"/>
  <c r="AV47" i="2"/>
  <c r="AU47" i="2"/>
  <c r="AW47" i="2" s="1"/>
  <c r="AS47" i="2"/>
  <c r="AR47" i="2"/>
  <c r="AO47" i="2"/>
  <c r="AN47" i="2"/>
  <c r="AP47" i="2" s="1"/>
  <c r="AL47" i="2"/>
  <c r="AK47" i="2"/>
  <c r="AH47" i="2"/>
  <c r="AG47" i="2"/>
  <c r="AE47" i="2"/>
  <c r="AD47" i="2"/>
  <c r="AA47" i="2"/>
  <c r="Z47" i="2"/>
  <c r="AB47" i="2" s="1"/>
  <c r="X47" i="2"/>
  <c r="W47" i="2"/>
  <c r="T47" i="2"/>
  <c r="S47" i="2"/>
  <c r="U47" i="2" s="1"/>
  <c r="Q47" i="2"/>
  <c r="P47" i="2"/>
  <c r="M47" i="2"/>
  <c r="L47" i="2"/>
  <c r="J47" i="2"/>
  <c r="I47" i="2"/>
  <c r="AV46" i="2"/>
  <c r="AU46" i="2"/>
  <c r="AS46" i="2"/>
  <c r="AR46" i="2"/>
  <c r="AO46" i="2"/>
  <c r="AN46" i="2"/>
  <c r="AL46" i="2"/>
  <c r="AK46" i="2"/>
  <c r="AH46" i="2"/>
  <c r="AG46" i="2"/>
  <c r="AI46" i="2" s="1"/>
  <c r="AE46" i="2"/>
  <c r="AD46" i="2"/>
  <c r="AA46" i="2"/>
  <c r="Z46" i="2"/>
  <c r="AB46" i="2" s="1"/>
  <c r="X46" i="2"/>
  <c r="W46" i="2"/>
  <c r="T46" i="2"/>
  <c r="S46" i="2"/>
  <c r="Q46" i="2"/>
  <c r="P46" i="2"/>
  <c r="M46" i="2"/>
  <c r="L46" i="2"/>
  <c r="N46" i="2" s="1"/>
  <c r="J46" i="2"/>
  <c r="I46" i="2"/>
  <c r="AV45" i="2"/>
  <c r="AU45" i="2"/>
  <c r="AW45" i="2" s="1"/>
  <c r="AS45" i="2"/>
  <c r="AR45" i="2"/>
  <c r="AO45" i="2"/>
  <c r="AN45" i="2"/>
  <c r="AL45" i="2"/>
  <c r="AK45" i="2"/>
  <c r="AH45" i="2"/>
  <c r="AG45" i="2"/>
  <c r="AE45" i="2"/>
  <c r="AD45" i="2"/>
  <c r="AA45" i="2"/>
  <c r="Z45" i="2"/>
  <c r="AB45" i="2" s="1"/>
  <c r="X45" i="2"/>
  <c r="W45" i="2"/>
  <c r="T45" i="2"/>
  <c r="S45" i="2"/>
  <c r="U45" i="2" s="1"/>
  <c r="Q45" i="2"/>
  <c r="P45" i="2"/>
  <c r="M45" i="2"/>
  <c r="L45" i="2"/>
  <c r="N45" i="2" s="1"/>
  <c r="J45" i="2"/>
  <c r="I45" i="2"/>
  <c r="AV44" i="2"/>
  <c r="AU44" i="2"/>
  <c r="AS44" i="2"/>
  <c r="AR44" i="2"/>
  <c r="AO44" i="2"/>
  <c r="AN44" i="2"/>
  <c r="AL44" i="2"/>
  <c r="AK44" i="2"/>
  <c r="AH44" i="2"/>
  <c r="AG44" i="2"/>
  <c r="AI44" i="2" s="1"/>
  <c r="AE44" i="2"/>
  <c r="AD44" i="2"/>
  <c r="AA44" i="2"/>
  <c r="Z44" i="2"/>
  <c r="AB44" i="2" s="1"/>
  <c r="X44" i="2"/>
  <c r="W44" i="2"/>
  <c r="T44" i="2"/>
  <c r="S44" i="2"/>
  <c r="Q44" i="2"/>
  <c r="P44" i="2"/>
  <c r="M44" i="2"/>
  <c r="L44" i="2"/>
  <c r="J44" i="2"/>
  <c r="I44" i="2"/>
  <c r="AV43" i="2"/>
  <c r="AU43" i="2"/>
  <c r="AW43" i="2" s="1"/>
  <c r="AS43" i="2"/>
  <c r="AR43" i="2"/>
  <c r="AO43" i="2"/>
  <c r="AN43" i="2"/>
  <c r="AL43" i="2"/>
  <c r="AK43" i="2"/>
  <c r="AH43" i="2"/>
  <c r="AG43" i="2"/>
  <c r="AE43" i="2"/>
  <c r="AD43" i="2"/>
  <c r="AA43" i="2"/>
  <c r="Z43" i="2"/>
  <c r="AB43" i="2" s="1"/>
  <c r="X43" i="2"/>
  <c r="W43" i="2"/>
  <c r="T43" i="2"/>
  <c r="S43" i="2"/>
  <c r="U43" i="2" s="1"/>
  <c r="Q43" i="2"/>
  <c r="P43" i="2"/>
  <c r="M43" i="2"/>
  <c r="L43" i="2"/>
  <c r="J43" i="2"/>
  <c r="I43" i="2"/>
  <c r="AV42" i="2"/>
  <c r="AU42" i="2"/>
  <c r="AS42" i="2"/>
  <c r="AR42" i="2"/>
  <c r="AO42" i="2"/>
  <c r="AN42" i="2"/>
  <c r="AP42" i="2" s="1"/>
  <c r="AL42" i="2"/>
  <c r="AK42" i="2"/>
  <c r="AH42" i="2"/>
  <c r="AG42" i="2"/>
  <c r="AI42" i="2" s="1"/>
  <c r="AE42" i="2"/>
  <c r="AD42" i="2"/>
  <c r="AA42" i="2"/>
  <c r="Z42" i="2"/>
  <c r="AB42" i="2" s="1"/>
  <c r="X42" i="2"/>
  <c r="W42" i="2"/>
  <c r="T42" i="2"/>
  <c r="S42" i="2"/>
  <c r="Q42" i="2"/>
  <c r="P42" i="2"/>
  <c r="M42" i="2"/>
  <c r="L42" i="2"/>
  <c r="J42" i="2"/>
  <c r="I42" i="2"/>
  <c r="AV41" i="2"/>
  <c r="AU41" i="2"/>
  <c r="AW41" i="2" s="1"/>
  <c r="AS41" i="2"/>
  <c r="AR41" i="2"/>
  <c r="AO41" i="2"/>
  <c r="AN41" i="2"/>
  <c r="AP41" i="2" s="1"/>
  <c r="AL41" i="2"/>
  <c r="AK41" i="2"/>
  <c r="AH41" i="2"/>
  <c r="AG41" i="2"/>
  <c r="AE41" i="2"/>
  <c r="AD41" i="2"/>
  <c r="AA41" i="2"/>
  <c r="Z41" i="2"/>
  <c r="X41" i="2"/>
  <c r="W41" i="2"/>
  <c r="T41" i="2"/>
  <c r="S41" i="2"/>
  <c r="U41" i="2" s="1"/>
  <c r="Q41" i="2"/>
  <c r="P41" i="2"/>
  <c r="M41" i="2"/>
  <c r="L41" i="2"/>
  <c r="K41" i="2"/>
  <c r="J41" i="2"/>
  <c r="H41" i="2"/>
  <c r="I41" i="2" s="1"/>
  <c r="AV40" i="2"/>
  <c r="AU40" i="2"/>
  <c r="AS40" i="2"/>
  <c r="AR40" i="2"/>
  <c r="AO40" i="2"/>
  <c r="AN40" i="2"/>
  <c r="AL40" i="2"/>
  <c r="AK40" i="2"/>
  <c r="AP40" i="2" s="1"/>
  <c r="AH40" i="2"/>
  <c r="AG40" i="2"/>
  <c r="AE40" i="2"/>
  <c r="AD40" i="2"/>
  <c r="AI40" i="2" s="1"/>
  <c r="AA40" i="2"/>
  <c r="Z40" i="2"/>
  <c r="X40" i="2"/>
  <c r="W40" i="2"/>
  <c r="T40" i="2"/>
  <c r="S40" i="2"/>
  <c r="Q40" i="2"/>
  <c r="P40" i="2"/>
  <c r="M40" i="2"/>
  <c r="L40" i="2"/>
  <c r="J40" i="2"/>
  <c r="I40" i="2"/>
  <c r="AV39" i="2"/>
  <c r="AU39" i="2"/>
  <c r="AS39" i="2"/>
  <c r="AR39" i="2"/>
  <c r="AW39" i="2" s="1"/>
  <c r="AO39" i="2"/>
  <c r="AN39" i="2"/>
  <c r="AL39" i="2"/>
  <c r="AK39" i="2"/>
  <c r="AP39" i="2" s="1"/>
  <c r="AH39" i="2"/>
  <c r="AG39" i="2"/>
  <c r="AE39" i="2"/>
  <c r="AD39" i="2"/>
  <c r="AA39" i="2"/>
  <c r="Z39" i="2"/>
  <c r="X39" i="2"/>
  <c r="W39" i="2"/>
  <c r="T39" i="2"/>
  <c r="S39" i="2"/>
  <c r="Q39" i="2"/>
  <c r="P39" i="2"/>
  <c r="U39" i="2" s="1"/>
  <c r="M39" i="2"/>
  <c r="L39" i="2"/>
  <c r="J39" i="2"/>
  <c r="I39" i="2"/>
  <c r="N39" i="2" s="1"/>
  <c r="AV38" i="2"/>
  <c r="AU38" i="2"/>
  <c r="AS38" i="2"/>
  <c r="AR38" i="2"/>
  <c r="AO38" i="2"/>
  <c r="AN38" i="2"/>
  <c r="AL38" i="2"/>
  <c r="AK38" i="2"/>
  <c r="AH38" i="2"/>
  <c r="AG38" i="2"/>
  <c r="AE38" i="2"/>
  <c r="AD38" i="2"/>
  <c r="AI38" i="2" s="1"/>
  <c r="AA38" i="2"/>
  <c r="Z38" i="2"/>
  <c r="X38" i="2"/>
  <c r="W38" i="2"/>
  <c r="AB38" i="2" s="1"/>
  <c r="T38" i="2"/>
  <c r="S38" i="2"/>
  <c r="Q38" i="2"/>
  <c r="P38" i="2"/>
  <c r="M38" i="2"/>
  <c r="L38" i="2"/>
  <c r="J38" i="2"/>
  <c r="I38" i="2"/>
  <c r="AV37" i="2"/>
  <c r="AU37" i="2"/>
  <c r="AS37" i="2"/>
  <c r="AR37" i="2"/>
  <c r="AW37" i="2" s="1"/>
  <c r="AO37" i="2"/>
  <c r="AN37" i="2"/>
  <c r="AL37" i="2"/>
  <c r="AK37" i="2"/>
  <c r="AP37" i="2" s="1"/>
  <c r="AH37" i="2"/>
  <c r="AG37" i="2"/>
  <c r="AE37" i="2"/>
  <c r="AD37" i="2"/>
  <c r="AA37" i="2"/>
  <c r="Z37" i="2"/>
  <c r="X37" i="2"/>
  <c r="W37" i="2"/>
  <c r="T37" i="2"/>
  <c r="S37" i="2"/>
  <c r="Q37" i="2"/>
  <c r="P37" i="2"/>
  <c r="U37" i="2" s="1"/>
  <c r="M37" i="2"/>
  <c r="L37" i="2"/>
  <c r="J37" i="2"/>
  <c r="I37" i="2"/>
  <c r="N37" i="2" s="1"/>
  <c r="AV36" i="2"/>
  <c r="AU36" i="2"/>
  <c r="AS36" i="2"/>
  <c r="AR36" i="2"/>
  <c r="AO36" i="2"/>
  <c r="AN36" i="2"/>
  <c r="AL36" i="2"/>
  <c r="AK36" i="2"/>
  <c r="AH36" i="2"/>
  <c r="AG36" i="2"/>
  <c r="AE36" i="2"/>
  <c r="AD36" i="2"/>
  <c r="AI36" i="2" s="1"/>
  <c r="AA36" i="2"/>
  <c r="Z36" i="2"/>
  <c r="X36" i="2"/>
  <c r="W36" i="2"/>
  <c r="AB36" i="2" s="1"/>
  <c r="T36" i="2"/>
  <c r="S36" i="2"/>
  <c r="Q36" i="2"/>
  <c r="P36" i="2"/>
  <c r="M36" i="2"/>
  <c r="L36" i="2"/>
  <c r="J36" i="2"/>
  <c r="I36" i="2"/>
  <c r="AV35" i="2"/>
  <c r="AU35" i="2"/>
  <c r="AS35" i="2"/>
  <c r="AR35" i="2"/>
  <c r="AW35" i="2" s="1"/>
  <c r="AO35" i="2"/>
  <c r="AN35" i="2"/>
  <c r="AL35" i="2"/>
  <c r="AK35" i="2"/>
  <c r="AP35" i="2" s="1"/>
  <c r="AF35" i="2"/>
  <c r="AD35" i="2"/>
  <c r="AC35" i="2"/>
  <c r="AE35" i="2" s="1"/>
  <c r="Z35" i="2"/>
  <c r="Y35" i="2"/>
  <c r="AA35" i="2" s="1"/>
  <c r="X35" i="2"/>
  <c r="V35" i="2"/>
  <c r="W35" i="2" s="1"/>
  <c r="T35" i="2"/>
  <c r="S35" i="2"/>
  <c r="Q35" i="2"/>
  <c r="P35" i="2"/>
  <c r="U35" i="2" s="1"/>
  <c r="M35" i="2"/>
  <c r="L35" i="2"/>
  <c r="J35" i="2"/>
  <c r="I35" i="2"/>
  <c r="N35" i="2" s="1"/>
  <c r="AT34" i="2"/>
  <c r="AQ34" i="2"/>
  <c r="AS34" i="2" s="1"/>
  <c r="AO34" i="2"/>
  <c r="AN34" i="2"/>
  <c r="AL34" i="2"/>
  <c r="AK34" i="2"/>
  <c r="AH34" i="2"/>
  <c r="AG34" i="2"/>
  <c r="AI34" i="2" s="1"/>
  <c r="AE34" i="2"/>
  <c r="AD34" i="2"/>
  <c r="AA34" i="2"/>
  <c r="Z34" i="2"/>
  <c r="Y34" i="2"/>
  <c r="V34" i="2"/>
  <c r="T34" i="2"/>
  <c r="S34" i="2"/>
  <c r="U34" i="2" s="1"/>
  <c r="Q34" i="2"/>
  <c r="P34" i="2"/>
  <c r="M34" i="2"/>
  <c r="L34" i="2"/>
  <c r="N34" i="2" s="1"/>
  <c r="J34" i="2"/>
  <c r="I34" i="2"/>
  <c r="AV33" i="2"/>
  <c r="AU33" i="2"/>
  <c r="AS33" i="2"/>
  <c r="AR33" i="2"/>
  <c r="AO33" i="2"/>
  <c r="AN33" i="2"/>
  <c r="AL33" i="2"/>
  <c r="AK33" i="2"/>
  <c r="AH33" i="2"/>
  <c r="AG33" i="2"/>
  <c r="AI33" i="2" s="1"/>
  <c r="AE33" i="2"/>
  <c r="AD33" i="2"/>
  <c r="AA33" i="2"/>
  <c r="Z33" i="2"/>
  <c r="AB33" i="2" s="1"/>
  <c r="X33" i="2"/>
  <c r="W33" i="2"/>
  <c r="T33" i="2"/>
  <c r="S33" i="2"/>
  <c r="Q33" i="2"/>
  <c r="P33" i="2"/>
  <c r="M33" i="2"/>
  <c r="L33" i="2"/>
  <c r="J33" i="2"/>
  <c r="I33" i="2"/>
  <c r="AV32" i="2"/>
  <c r="AU32" i="2"/>
  <c r="AW32" i="2" s="1"/>
  <c r="AS32" i="2"/>
  <c r="AR32" i="2"/>
  <c r="AO32" i="2"/>
  <c r="AN32" i="2"/>
  <c r="AP32" i="2" s="1"/>
  <c r="AL32" i="2"/>
  <c r="AK32" i="2"/>
  <c r="AH32" i="2"/>
  <c r="AG32" i="2"/>
  <c r="AE32" i="2"/>
  <c r="AD32" i="2"/>
  <c r="AA32" i="2"/>
  <c r="Z32" i="2"/>
  <c r="AB32" i="2" s="1"/>
  <c r="X32" i="2"/>
  <c r="W32" i="2"/>
  <c r="T32" i="2"/>
  <c r="S32" i="2"/>
  <c r="U32" i="2" s="1"/>
  <c r="Q32" i="2"/>
  <c r="P32" i="2"/>
  <c r="M32" i="2"/>
  <c r="L32" i="2"/>
  <c r="J32" i="2"/>
  <c r="I32" i="2"/>
  <c r="AV31" i="2"/>
  <c r="AU31" i="2"/>
  <c r="AS31" i="2"/>
  <c r="AR31" i="2"/>
  <c r="AO31" i="2"/>
  <c r="AN31" i="2"/>
  <c r="AL31" i="2"/>
  <c r="AK31" i="2"/>
  <c r="AH31" i="2"/>
  <c r="AG31" i="2"/>
  <c r="AC31" i="2"/>
  <c r="AD31" i="2" s="1"/>
  <c r="Y31" i="2"/>
  <c r="Z31" i="2" s="1"/>
  <c r="X31" i="2"/>
  <c r="W31" i="2"/>
  <c r="V31" i="2"/>
  <c r="T31" i="2"/>
  <c r="S31" i="2"/>
  <c r="U31" i="2" s="1"/>
  <c r="Q31" i="2"/>
  <c r="P31" i="2"/>
  <c r="M31" i="2"/>
  <c r="L31" i="2"/>
  <c r="J31" i="2"/>
  <c r="I31" i="2"/>
  <c r="AV30" i="2"/>
  <c r="AU30" i="2"/>
  <c r="AS30" i="2"/>
  <c r="AQ30" i="2"/>
  <c r="AR30" i="2" s="1"/>
  <c r="AW30" i="2" s="1"/>
  <c r="AO30" i="2"/>
  <c r="AN30" i="2"/>
  <c r="AP30" i="2" s="1"/>
  <c r="AL30" i="2"/>
  <c r="AK30" i="2"/>
  <c r="AH30" i="2"/>
  <c r="AG30" i="2"/>
  <c r="AE30" i="2"/>
  <c r="AD30" i="2"/>
  <c r="AA30" i="2"/>
  <c r="Z30" i="2"/>
  <c r="AB30" i="2" s="1"/>
  <c r="W30" i="2"/>
  <c r="V30" i="2"/>
  <c r="X30" i="2" s="1"/>
  <c r="T30" i="2"/>
  <c r="S30" i="2"/>
  <c r="Q30" i="2"/>
  <c r="P30" i="2"/>
  <c r="U30" i="2" s="1"/>
  <c r="M30" i="2"/>
  <c r="L30" i="2"/>
  <c r="H30" i="2"/>
  <c r="I30" i="2" s="1"/>
  <c r="N30" i="2" s="1"/>
  <c r="AV29" i="2"/>
  <c r="AU29" i="2"/>
  <c r="AW29" i="2" s="1"/>
  <c r="AS29" i="2"/>
  <c r="AR29" i="2"/>
  <c r="AO29" i="2"/>
  <c r="AN29" i="2"/>
  <c r="AP29" i="2" s="1"/>
  <c r="AL29" i="2"/>
  <c r="AK29" i="2"/>
  <c r="AH29" i="2"/>
  <c r="AG29" i="2"/>
  <c r="AE29" i="2"/>
  <c r="AD29" i="2"/>
  <c r="AA29" i="2"/>
  <c r="Z29" i="2"/>
  <c r="AB29" i="2" s="1"/>
  <c r="X29" i="2"/>
  <c r="W29" i="2"/>
  <c r="T29" i="2"/>
  <c r="S29" i="2"/>
  <c r="U29" i="2" s="1"/>
  <c r="Q29" i="2"/>
  <c r="P29" i="2"/>
  <c r="M29" i="2"/>
  <c r="L29" i="2"/>
  <c r="J29" i="2"/>
  <c r="I29" i="2"/>
  <c r="AV28" i="2"/>
  <c r="AU28" i="2"/>
  <c r="AS28" i="2"/>
  <c r="AR28" i="2"/>
  <c r="AO28" i="2"/>
  <c r="AN28" i="2"/>
  <c r="AL28" i="2"/>
  <c r="AK28" i="2"/>
  <c r="AH28" i="2"/>
  <c r="AG28" i="2"/>
  <c r="AI28" i="2" s="1"/>
  <c r="AE28" i="2"/>
  <c r="AD28" i="2"/>
  <c r="AA28" i="2"/>
  <c r="Z28" i="2"/>
  <c r="AB28" i="2" s="1"/>
  <c r="X28" i="2"/>
  <c r="W28" i="2"/>
  <c r="T28" i="2"/>
  <c r="S28" i="2"/>
  <c r="Q28" i="2"/>
  <c r="P28" i="2"/>
  <c r="M28" i="2"/>
  <c r="L28" i="2"/>
  <c r="N28" i="2" s="1"/>
  <c r="J28" i="2"/>
  <c r="I28" i="2"/>
  <c r="AV27" i="2"/>
  <c r="AU27" i="2"/>
  <c r="AW27" i="2" s="1"/>
  <c r="AS27" i="2"/>
  <c r="AR27" i="2"/>
  <c r="AO27" i="2"/>
  <c r="AN27" i="2"/>
  <c r="AL27" i="2"/>
  <c r="AK27" i="2"/>
  <c r="AH27" i="2"/>
  <c r="AG27" i="2"/>
  <c r="AE27" i="2"/>
  <c r="AD27" i="2"/>
  <c r="AA27" i="2"/>
  <c r="Z27" i="2"/>
  <c r="X27" i="2"/>
  <c r="W27" i="2"/>
  <c r="T27" i="2"/>
  <c r="S27" i="2"/>
  <c r="U27" i="2" s="1"/>
  <c r="Q27" i="2"/>
  <c r="P27" i="2"/>
  <c r="M27" i="2"/>
  <c r="L27" i="2"/>
  <c r="N27" i="2" s="1"/>
  <c r="J27" i="2"/>
  <c r="I27" i="2"/>
  <c r="AT26" i="2"/>
  <c r="AR26" i="2"/>
  <c r="AQ26" i="2"/>
  <c r="AS26" i="2" s="1"/>
  <c r="AO26" i="2"/>
  <c r="AN26" i="2"/>
  <c r="AL26" i="2"/>
  <c r="AK26" i="2"/>
  <c r="AP26" i="2" s="1"/>
  <c r="AH26" i="2"/>
  <c r="AG26" i="2"/>
  <c r="AE26" i="2"/>
  <c r="AD26" i="2"/>
  <c r="AI26" i="2" s="1"/>
  <c r="AA26" i="2"/>
  <c r="Z26" i="2"/>
  <c r="X26" i="2"/>
  <c r="W26" i="2"/>
  <c r="AB26" i="2" s="1"/>
  <c r="T26" i="2"/>
  <c r="S26" i="2"/>
  <c r="Q26" i="2"/>
  <c r="P26" i="2"/>
  <c r="M26" i="2"/>
  <c r="L26" i="2"/>
  <c r="J26" i="2"/>
  <c r="I26" i="2"/>
  <c r="AV25" i="2"/>
  <c r="AU25" i="2"/>
  <c r="AS25" i="2"/>
  <c r="AR25" i="2"/>
  <c r="AW25" i="2" s="1"/>
  <c r="AO25" i="2"/>
  <c r="AN25" i="2"/>
  <c r="AL25" i="2"/>
  <c r="AK25" i="2"/>
  <c r="AH25" i="2"/>
  <c r="AG25" i="2"/>
  <c r="AE25" i="2"/>
  <c r="AD25" i="2"/>
  <c r="AA25" i="2"/>
  <c r="Z25" i="2"/>
  <c r="X25" i="2"/>
  <c r="W25" i="2"/>
  <c r="AB25" i="2" s="1"/>
  <c r="T25" i="2"/>
  <c r="S25" i="2"/>
  <c r="Q25" i="2"/>
  <c r="P25" i="2"/>
  <c r="U25" i="2" s="1"/>
  <c r="M25" i="2"/>
  <c r="L25" i="2"/>
  <c r="J25" i="2"/>
  <c r="I25" i="2"/>
  <c r="N25" i="2" s="1"/>
  <c r="AV24" i="2"/>
  <c r="AU24" i="2"/>
  <c r="AS24" i="2"/>
  <c r="AR24" i="2"/>
  <c r="AO24" i="2"/>
  <c r="AN24" i="2"/>
  <c r="AL24" i="2"/>
  <c r="AK24" i="2"/>
  <c r="AH24" i="2"/>
  <c r="AG24" i="2"/>
  <c r="AE24" i="2"/>
  <c r="AD24" i="2"/>
  <c r="AI24" i="2" s="1"/>
  <c r="AA24" i="2"/>
  <c r="Z24" i="2"/>
  <c r="X24" i="2"/>
  <c r="W24" i="2"/>
  <c r="T24" i="2"/>
  <c r="S24" i="2"/>
  <c r="Q24" i="2"/>
  <c r="P24" i="2"/>
  <c r="M24" i="2"/>
  <c r="L24" i="2"/>
  <c r="J24" i="2"/>
  <c r="I24" i="2"/>
  <c r="N24" i="2" s="1"/>
  <c r="AV23" i="2"/>
  <c r="AU23" i="2"/>
  <c r="AS23" i="2"/>
  <c r="AR23" i="2"/>
  <c r="AW23" i="2" s="1"/>
  <c r="AO23" i="2"/>
  <c r="AN23" i="2"/>
  <c r="AL23" i="2"/>
  <c r="AK23" i="2"/>
  <c r="AP23" i="2" s="1"/>
  <c r="AH23" i="2"/>
  <c r="AG23" i="2"/>
  <c r="AE23" i="2"/>
  <c r="AD23" i="2"/>
  <c r="AA23" i="2"/>
  <c r="Z23" i="2"/>
  <c r="X23" i="2"/>
  <c r="W23" i="2"/>
  <c r="T23" i="2"/>
  <c r="S23" i="2"/>
  <c r="Q23" i="2"/>
  <c r="P23" i="2"/>
  <c r="U23" i="2" s="1"/>
  <c r="M23" i="2"/>
  <c r="L23" i="2"/>
  <c r="J23" i="2"/>
  <c r="I23" i="2"/>
  <c r="AV22" i="2"/>
  <c r="AU22" i="2"/>
  <c r="AS22" i="2"/>
  <c r="AR22" i="2"/>
  <c r="AO22" i="2"/>
  <c r="AN22" i="2"/>
  <c r="AL22" i="2"/>
  <c r="AK22" i="2"/>
  <c r="AP22" i="2" s="1"/>
  <c r="AH22" i="2"/>
  <c r="AG22" i="2"/>
  <c r="AE22" i="2"/>
  <c r="AD22" i="2"/>
  <c r="AI22" i="2" s="1"/>
  <c r="AA22" i="2"/>
  <c r="Z22" i="2"/>
  <c r="X22" i="2"/>
  <c r="W22" i="2"/>
  <c r="AB22" i="2" s="1"/>
  <c r="T22" i="2"/>
  <c r="S22" i="2"/>
  <c r="Q22" i="2"/>
  <c r="P22" i="2"/>
  <c r="M22" i="2"/>
  <c r="L22" i="2"/>
  <c r="J22" i="2"/>
  <c r="I22" i="2"/>
  <c r="AV21" i="2"/>
  <c r="AU21" i="2"/>
  <c r="AS21" i="2"/>
  <c r="AR21" i="2"/>
  <c r="AW21" i="2" s="1"/>
  <c r="AO21" i="2"/>
  <c r="AN21" i="2"/>
  <c r="AL21" i="2"/>
  <c r="AK21" i="2"/>
  <c r="AH21" i="2"/>
  <c r="AG21" i="2"/>
  <c r="AE21" i="2"/>
  <c r="AD21" i="2"/>
  <c r="AA21" i="2"/>
  <c r="Z21" i="2"/>
  <c r="X21" i="2"/>
  <c r="W21" i="2"/>
  <c r="AB21" i="2" s="1"/>
  <c r="T21" i="2"/>
  <c r="S21" i="2"/>
  <c r="Q21" i="2"/>
  <c r="P21" i="2"/>
  <c r="U21" i="2" s="1"/>
  <c r="M21" i="2"/>
  <c r="L21" i="2"/>
  <c r="J21" i="2"/>
  <c r="I21" i="2"/>
  <c r="N21" i="2" s="1"/>
  <c r="AV20" i="2"/>
  <c r="AU20" i="2"/>
  <c r="AS20" i="2"/>
  <c r="AR20" i="2"/>
  <c r="AO20" i="2"/>
  <c r="AN20" i="2"/>
  <c r="AL20" i="2"/>
  <c r="AK20" i="2"/>
  <c r="AH20" i="2"/>
  <c r="AG20" i="2"/>
  <c r="AE20" i="2"/>
  <c r="AD20" i="2"/>
  <c r="AI20" i="2" s="1"/>
  <c r="AA20" i="2"/>
  <c r="Z20" i="2"/>
  <c r="X20" i="2"/>
  <c r="W20" i="2"/>
  <c r="T20" i="2"/>
  <c r="S20" i="2"/>
  <c r="Q20" i="2"/>
  <c r="P20" i="2"/>
  <c r="M20" i="2"/>
  <c r="L20" i="2"/>
  <c r="J20" i="2"/>
  <c r="I20" i="2"/>
  <c r="N20" i="2" s="1"/>
  <c r="AV19" i="2"/>
  <c r="AU19" i="2"/>
  <c r="AS19" i="2"/>
  <c r="AR19" i="2"/>
  <c r="AW19" i="2" s="1"/>
  <c r="AO19" i="2"/>
  <c r="AN19" i="2"/>
  <c r="AL19" i="2"/>
  <c r="AK19" i="2"/>
  <c r="AP19" i="2" s="1"/>
  <c r="AH19" i="2"/>
  <c r="AG19" i="2"/>
  <c r="AE19" i="2"/>
  <c r="AD19" i="2"/>
  <c r="AA19" i="2"/>
  <c r="Z19" i="2"/>
  <c r="X19" i="2"/>
  <c r="W19" i="2"/>
  <c r="T19" i="2"/>
  <c r="S19" i="2"/>
  <c r="Q19" i="2"/>
  <c r="P19" i="2"/>
  <c r="U19" i="2" s="1"/>
  <c r="M19" i="2"/>
  <c r="L19" i="2"/>
  <c r="J19" i="2"/>
  <c r="I19" i="2"/>
  <c r="AV18" i="2"/>
  <c r="AU18" i="2"/>
  <c r="AS18" i="2"/>
  <c r="AR18" i="2"/>
  <c r="AO18" i="2"/>
  <c r="AN18" i="2"/>
  <c r="AL18" i="2"/>
  <c r="AK18" i="2"/>
  <c r="AP18" i="2" s="1"/>
  <c r="AH18" i="2"/>
  <c r="AG18" i="2"/>
  <c r="AE18" i="2"/>
  <c r="AD18" i="2"/>
  <c r="AI18" i="2" s="1"/>
  <c r="AA18" i="2"/>
  <c r="Z18" i="2"/>
  <c r="X18" i="2"/>
  <c r="W18" i="2"/>
  <c r="AB18" i="2" s="1"/>
  <c r="T18" i="2"/>
  <c r="S18" i="2"/>
  <c r="Q18" i="2"/>
  <c r="P18" i="2"/>
  <c r="M18" i="2"/>
  <c r="L18" i="2"/>
  <c r="J18" i="2"/>
  <c r="I18" i="2"/>
  <c r="AV17" i="2"/>
  <c r="AU17" i="2"/>
  <c r="AS17" i="2"/>
  <c r="AR17" i="2"/>
  <c r="AW17" i="2" s="1"/>
  <c r="AO17" i="2"/>
  <c r="AN17" i="2"/>
  <c r="AL17" i="2"/>
  <c r="AK17" i="2"/>
  <c r="AH17" i="2"/>
  <c r="AG17" i="2"/>
  <c r="AE17" i="2"/>
  <c r="AD17" i="2"/>
  <c r="AA17" i="2"/>
  <c r="Z17" i="2"/>
  <c r="X17" i="2"/>
  <c r="W17" i="2"/>
  <c r="AB17" i="2" s="1"/>
  <c r="T17" i="2"/>
  <c r="S17" i="2"/>
  <c r="Q17" i="2"/>
  <c r="P17" i="2"/>
  <c r="U17" i="2" s="1"/>
  <c r="M17" i="2"/>
  <c r="L17" i="2"/>
  <c r="J17" i="2"/>
  <c r="I17" i="2"/>
  <c r="N17" i="2" s="1"/>
  <c r="AV16" i="2"/>
  <c r="AU16" i="2"/>
  <c r="AS16" i="2"/>
  <c r="AR16" i="2"/>
  <c r="AO16" i="2"/>
  <c r="AN16" i="2"/>
  <c r="AL16" i="2"/>
  <c r="AK16" i="2"/>
  <c r="AH16" i="2"/>
  <c r="AG16" i="2"/>
  <c r="AE16" i="2"/>
  <c r="AD16" i="2"/>
  <c r="AI16" i="2" s="1"/>
  <c r="Y16" i="2"/>
  <c r="AA16" i="2" s="1"/>
  <c r="V16" i="2"/>
  <c r="W16" i="2" s="1"/>
  <c r="R16" i="2"/>
  <c r="S16" i="2" s="1"/>
  <c r="U16" i="2" s="1"/>
  <c r="Q16" i="2"/>
  <c r="P16" i="2"/>
  <c r="M16" i="2"/>
  <c r="L16" i="2"/>
  <c r="N16" i="2" s="1"/>
  <c r="H16" i="2"/>
  <c r="I16" i="2" s="1"/>
  <c r="AV15" i="2"/>
  <c r="AU15" i="2"/>
  <c r="AS15" i="2"/>
  <c r="AR15" i="2"/>
  <c r="AO15" i="2"/>
  <c r="AN15" i="2"/>
  <c r="AL15" i="2"/>
  <c r="AK15" i="2"/>
  <c r="AH15" i="2"/>
  <c r="AG15" i="2"/>
  <c r="AI15" i="2" s="1"/>
  <c r="AE15" i="2"/>
  <c r="AD15" i="2"/>
  <c r="AA15" i="2"/>
  <c r="Z15" i="2"/>
  <c r="X15" i="2"/>
  <c r="W15" i="2"/>
  <c r="T15" i="2"/>
  <c r="S15" i="2"/>
  <c r="Q15" i="2"/>
  <c r="P15" i="2"/>
  <c r="M15" i="2"/>
  <c r="L15" i="2"/>
  <c r="N15" i="2" s="1"/>
  <c r="J15" i="2"/>
  <c r="I15" i="2"/>
  <c r="AV14" i="2"/>
  <c r="AU14" i="2"/>
  <c r="AW14" i="2" s="1"/>
  <c r="AS14" i="2"/>
  <c r="AR14" i="2"/>
  <c r="AO14" i="2"/>
  <c r="AN14" i="2"/>
  <c r="AP14" i="2" s="1"/>
  <c r="AL14" i="2"/>
  <c r="AK14" i="2"/>
  <c r="AH14" i="2"/>
  <c r="AG14" i="2"/>
  <c r="AE14" i="2"/>
  <c r="AD14" i="2"/>
  <c r="AA14" i="2"/>
  <c r="Z14" i="2"/>
  <c r="X14" i="2"/>
  <c r="W14" i="2"/>
  <c r="T14" i="2"/>
  <c r="S14" i="2"/>
  <c r="U14" i="2" s="1"/>
  <c r="Q14" i="2"/>
  <c r="P14" i="2"/>
  <c r="M14" i="2"/>
  <c r="L14" i="2"/>
  <c r="J14" i="2"/>
  <c r="I14" i="2"/>
  <c r="AV13" i="2"/>
  <c r="AU13" i="2"/>
  <c r="AS13" i="2"/>
  <c r="AR13" i="2"/>
  <c r="AO13" i="2"/>
  <c r="AN13" i="2"/>
  <c r="AP13" i="2" s="1"/>
  <c r="AL13" i="2"/>
  <c r="AK13" i="2"/>
  <c r="AH13" i="2"/>
  <c r="AG13" i="2"/>
  <c r="AI13" i="2" s="1"/>
  <c r="AE13" i="2"/>
  <c r="AD13" i="2"/>
  <c r="AA13" i="2"/>
  <c r="Z13" i="2"/>
  <c r="AB13" i="2" s="1"/>
  <c r="X13" i="2"/>
  <c r="W13" i="2"/>
  <c r="T13" i="2"/>
  <c r="S13" i="2"/>
  <c r="Q13" i="2"/>
  <c r="P13" i="2"/>
  <c r="M13" i="2"/>
  <c r="L13" i="2"/>
  <c r="J13" i="2"/>
  <c r="I13" i="2"/>
  <c r="AV12" i="2"/>
  <c r="AU12" i="2"/>
  <c r="AW12" i="2" s="1"/>
  <c r="AS12" i="2"/>
  <c r="AR12" i="2"/>
  <c r="AO12" i="2"/>
  <c r="AN12" i="2"/>
  <c r="AL12" i="2"/>
  <c r="AK12" i="2"/>
  <c r="AH12" i="2"/>
  <c r="AG12" i="2"/>
  <c r="AE12" i="2"/>
  <c r="AD12" i="2"/>
  <c r="AA12" i="2"/>
  <c r="Z12" i="2"/>
  <c r="AB12" i="2" s="1"/>
  <c r="X12" i="2"/>
  <c r="W12" i="2"/>
  <c r="T12" i="2"/>
  <c r="S12" i="2"/>
  <c r="U12" i="2" s="1"/>
  <c r="Q12" i="2"/>
  <c r="P12" i="2"/>
  <c r="M12" i="2"/>
  <c r="L12" i="2"/>
  <c r="N12" i="2" s="1"/>
  <c r="J12" i="2"/>
  <c r="I12" i="2"/>
  <c r="AV11" i="2"/>
  <c r="AU11" i="2"/>
  <c r="AS11" i="2"/>
  <c r="AR11" i="2"/>
  <c r="AO11" i="2"/>
  <c r="AN11" i="2"/>
  <c r="AL11" i="2"/>
  <c r="AK11" i="2"/>
  <c r="AH11" i="2"/>
  <c r="AG11" i="2"/>
  <c r="AI11" i="2" s="1"/>
  <c r="AE11" i="2"/>
  <c r="AD11" i="2"/>
  <c r="AA11" i="2"/>
  <c r="Z11" i="2"/>
  <c r="X11" i="2"/>
  <c r="W11" i="2"/>
  <c r="T11" i="2"/>
  <c r="S11" i="2"/>
  <c r="Q11" i="2"/>
  <c r="P11" i="2"/>
  <c r="M11" i="2"/>
  <c r="L11" i="2"/>
  <c r="N11" i="2" s="1"/>
  <c r="J11" i="2"/>
  <c r="I11" i="2"/>
  <c r="AV10" i="2"/>
  <c r="AU10" i="2"/>
  <c r="AW10" i="2" s="1"/>
  <c r="AS10" i="2"/>
  <c r="AR10" i="2"/>
  <c r="AO10" i="2"/>
  <c r="AN10" i="2"/>
  <c r="AP10" i="2" s="1"/>
  <c r="AL10" i="2"/>
  <c r="AK10" i="2"/>
  <c r="AH10" i="2"/>
  <c r="AG10" i="2"/>
  <c r="AE10" i="2"/>
  <c r="AD10" i="2"/>
  <c r="AA10" i="2"/>
  <c r="Z10" i="2"/>
  <c r="X10" i="2"/>
  <c r="W10" i="2"/>
  <c r="T10" i="2"/>
  <c r="S10" i="2"/>
  <c r="U10" i="2" s="1"/>
  <c r="Q10" i="2"/>
  <c r="P10" i="2"/>
  <c r="M10" i="2"/>
  <c r="L10" i="2"/>
  <c r="J10" i="2"/>
  <c r="I10" i="2"/>
  <c r="AV9" i="2"/>
  <c r="AU9" i="2"/>
  <c r="AS9" i="2"/>
  <c r="AR9" i="2"/>
  <c r="AO9" i="2"/>
  <c r="AN9" i="2"/>
  <c r="AP9" i="2" s="1"/>
  <c r="AL9" i="2"/>
  <c r="AK9" i="2"/>
  <c r="AH9" i="2"/>
  <c r="AG9" i="2"/>
  <c r="AI9" i="2" s="1"/>
  <c r="AE9" i="2"/>
  <c r="AD9" i="2"/>
  <c r="AA9" i="2"/>
  <c r="Z9" i="2"/>
  <c r="AB9" i="2" s="1"/>
  <c r="X9" i="2"/>
  <c r="W9" i="2"/>
  <c r="T9" i="2"/>
  <c r="S9" i="2"/>
  <c r="Q9" i="2"/>
  <c r="P9" i="2"/>
  <c r="M9" i="2"/>
  <c r="L9" i="2"/>
  <c r="J9" i="2"/>
  <c r="I9" i="2"/>
  <c r="AV8" i="2"/>
  <c r="AT8" i="2"/>
  <c r="AU8" i="2" s="1"/>
  <c r="AS8" i="2"/>
  <c r="AR8" i="2"/>
  <c r="AO8" i="2"/>
  <c r="AN8" i="2"/>
  <c r="AL8" i="2"/>
  <c r="AK8" i="2"/>
  <c r="AH8" i="2"/>
  <c r="AG8" i="2"/>
  <c r="AE8" i="2"/>
  <c r="AD8" i="2"/>
  <c r="Y8" i="2"/>
  <c r="Z8" i="2" s="1"/>
  <c r="X8" i="2"/>
  <c r="W8" i="2"/>
  <c r="T8" i="2"/>
  <c r="S8" i="2"/>
  <c r="Q8" i="2"/>
  <c r="P8" i="2"/>
  <c r="U8" i="2" s="1"/>
  <c r="K8" i="2"/>
  <c r="M8" i="2" s="1"/>
  <c r="J8" i="2"/>
  <c r="I8" i="2"/>
  <c r="AV7" i="2"/>
  <c r="AU7" i="2"/>
  <c r="AS7" i="2"/>
  <c r="AR7" i="2"/>
  <c r="AO7" i="2"/>
  <c r="AN7" i="2"/>
  <c r="AL7" i="2"/>
  <c r="AK7" i="2"/>
  <c r="AP7" i="2" s="1"/>
  <c r="AH7" i="2"/>
  <c r="AG7" i="2"/>
  <c r="AE7" i="2"/>
  <c r="AD7" i="2"/>
  <c r="AI7" i="2" s="1"/>
  <c r="AA7" i="2"/>
  <c r="Z7" i="2"/>
  <c r="X7" i="2"/>
  <c r="W7" i="2"/>
  <c r="T7" i="2"/>
  <c r="S7" i="2"/>
  <c r="Q7" i="2"/>
  <c r="P7" i="2"/>
  <c r="U7" i="2" s="1"/>
  <c r="M7" i="2"/>
  <c r="L7" i="2"/>
  <c r="J7" i="2"/>
  <c r="I7" i="2"/>
  <c r="N7" i="2" s="1"/>
  <c r="AV6" i="2"/>
  <c r="AU6" i="2"/>
  <c r="AS6" i="2"/>
  <c r="AR6" i="2"/>
  <c r="AO6" i="2"/>
  <c r="AN6" i="2"/>
  <c r="AL6" i="2"/>
  <c r="AK6" i="2"/>
  <c r="AH6" i="2"/>
  <c r="AG6" i="2"/>
  <c r="AE6" i="2"/>
  <c r="AD6" i="2"/>
  <c r="AA6" i="2"/>
  <c r="Z6" i="2"/>
  <c r="X6" i="2"/>
  <c r="W6" i="2"/>
  <c r="AB6" i="2" s="1"/>
  <c r="T6" i="2"/>
  <c r="S6" i="2"/>
  <c r="Q6" i="2"/>
  <c r="P6" i="2"/>
  <c r="U6" i="2" s="1"/>
  <c r="M6" i="2"/>
  <c r="L6" i="2"/>
  <c r="J6" i="2"/>
  <c r="I6" i="2"/>
  <c r="AV5" i="2"/>
  <c r="AU5" i="2"/>
  <c r="AS5" i="2"/>
  <c r="AR5" i="2"/>
  <c r="AW5" i="2" s="1"/>
  <c r="AO5" i="2"/>
  <c r="AN5" i="2"/>
  <c r="AL5" i="2"/>
  <c r="AK5" i="2"/>
  <c r="AP5" i="2" s="1"/>
  <c r="AF5" i="2"/>
  <c r="AH5" i="2" s="1"/>
  <c r="AC5" i="2"/>
  <c r="Y5" i="2"/>
  <c r="Z5" i="2" s="1"/>
  <c r="X5" i="2"/>
  <c r="W5" i="2"/>
  <c r="V5" i="2"/>
  <c r="T5" i="2"/>
  <c r="S5" i="2"/>
  <c r="Q5" i="2"/>
  <c r="P5" i="2"/>
  <c r="M5" i="2"/>
  <c r="L5" i="2"/>
  <c r="J5" i="2"/>
  <c r="I5" i="2"/>
  <c r="AV4" i="2"/>
  <c r="AU4" i="2"/>
  <c r="AS4" i="2"/>
  <c r="AR4" i="2"/>
  <c r="AO4" i="2"/>
  <c r="AN4" i="2"/>
  <c r="AP4" i="2" s="1"/>
  <c r="AL4" i="2"/>
  <c r="AK4" i="2"/>
  <c r="AH4" i="2"/>
  <c r="AG4" i="2"/>
  <c r="AI4" i="2" s="1"/>
  <c r="AE4" i="2"/>
  <c r="AD4" i="2"/>
  <c r="AA4" i="2"/>
  <c r="Z4" i="2"/>
  <c r="X4" i="2"/>
  <c r="W4" i="2"/>
  <c r="T4" i="2"/>
  <c r="S4" i="2"/>
  <c r="U4" i="2" s="1"/>
  <c r="Q4" i="2"/>
  <c r="P4" i="2"/>
  <c r="M4" i="2"/>
  <c r="L4" i="2"/>
  <c r="N4" i="2" s="1"/>
  <c r="J4" i="2"/>
  <c r="I4" i="2"/>
  <c r="AV3" i="2"/>
  <c r="AU3" i="2"/>
  <c r="AS3" i="2"/>
  <c r="AR3" i="2"/>
  <c r="AO3" i="2"/>
  <c r="AN3" i="2"/>
  <c r="AL3" i="2"/>
  <c r="AK3" i="2"/>
  <c r="AF3" i="2"/>
  <c r="AE3" i="2"/>
  <c r="AD3" i="2"/>
  <c r="AA3" i="2"/>
  <c r="Z3" i="2"/>
  <c r="AB3" i="2" s="1"/>
  <c r="X3" i="2"/>
  <c r="W3" i="2"/>
  <c r="T3" i="2"/>
  <c r="S3" i="2"/>
  <c r="Q3" i="2"/>
  <c r="P3" i="2"/>
  <c r="M3" i="2"/>
  <c r="L3" i="2"/>
  <c r="N3" i="2" s="1"/>
  <c r="J3" i="2"/>
  <c r="I3" i="2"/>
  <c r="AV2" i="2"/>
  <c r="AU2" i="2"/>
  <c r="AW2" i="2" s="1"/>
  <c r="AS2" i="2"/>
  <c r="AR2" i="2"/>
  <c r="AO2" i="2"/>
  <c r="AN2" i="2"/>
  <c r="AL2" i="2"/>
  <c r="AK2" i="2"/>
  <c r="AH2" i="2"/>
  <c r="AG2" i="2"/>
  <c r="AE2" i="2"/>
  <c r="AD2" i="2"/>
  <c r="AA2" i="2"/>
  <c r="Z2" i="2"/>
  <c r="X2" i="2"/>
  <c r="W2" i="2"/>
  <c r="AB2" i="2" s="1"/>
  <c r="T2" i="2"/>
  <c r="S2" i="2"/>
  <c r="Q2" i="2"/>
  <c r="P2" i="2"/>
  <c r="M2" i="2"/>
  <c r="L2" i="2"/>
  <c r="J2" i="2"/>
  <c r="I2" i="2"/>
  <c r="AH76" i="2" l="1"/>
  <c r="AG76" i="2"/>
  <c r="AI76" i="2" s="1"/>
  <c r="J60" i="2"/>
  <c r="I60" i="2"/>
  <c r="N60" i="2" s="1"/>
  <c r="N121" i="2" s="1"/>
  <c r="AU64" i="2"/>
  <c r="AV64" i="2"/>
  <c r="AV80" i="2"/>
  <c r="AU80" i="2"/>
  <c r="AW80" i="2" s="1"/>
  <c r="U2" i="2"/>
  <c r="AH3" i="2"/>
  <c r="AG3" i="2"/>
  <c r="AI3" i="2" s="1"/>
  <c r="AU26" i="2"/>
  <c r="AW26" i="2" s="1"/>
  <c r="AV26" i="2"/>
  <c r="Z60" i="2"/>
  <c r="AB60" i="2" s="1"/>
  <c r="AA60" i="2"/>
  <c r="Z84" i="2"/>
  <c r="AB84" i="2" s="1"/>
  <c r="AA84" i="2"/>
  <c r="N2" i="2"/>
  <c r="AD5" i="2"/>
  <c r="AE5" i="2"/>
  <c r="AB35" i="2"/>
  <c r="N41" i="2"/>
  <c r="AI2" i="2"/>
  <c r="N6" i="2"/>
  <c r="AP6" i="2"/>
  <c r="AB7" i="2"/>
  <c r="AW7" i="2"/>
  <c r="AW16" i="2"/>
  <c r="AI17" i="2"/>
  <c r="N18" i="2"/>
  <c r="N19" i="2"/>
  <c r="AB19" i="2"/>
  <c r="AB20" i="2"/>
  <c r="AP20" i="2"/>
  <c r="AP21" i="2"/>
  <c r="N22" i="2"/>
  <c r="N23" i="2"/>
  <c r="AB23" i="2"/>
  <c r="AB24" i="2"/>
  <c r="AP24" i="2"/>
  <c r="AI27" i="2"/>
  <c r="U28" i="2"/>
  <c r="AW28" i="2"/>
  <c r="AW31" i="2"/>
  <c r="U33" i="2"/>
  <c r="AP33" i="2"/>
  <c r="AW33" i="2"/>
  <c r="AP34" i="2"/>
  <c r="N36" i="2"/>
  <c r="U36" i="2"/>
  <c r="AP36" i="2"/>
  <c r="AW36" i="2"/>
  <c r="AB41" i="2"/>
  <c r="AI41" i="2"/>
  <c r="N42" i="2"/>
  <c r="U42" i="2"/>
  <c r="AW42" i="2"/>
  <c r="N43" i="2"/>
  <c r="AI43" i="2"/>
  <c r="AP43" i="2"/>
  <c r="N44" i="2"/>
  <c r="U44" i="2"/>
  <c r="AP44" i="2"/>
  <c r="AW44" i="2"/>
  <c r="AI45" i="2"/>
  <c r="AP45" i="2"/>
  <c r="U46" i="2"/>
  <c r="AP46" i="2"/>
  <c r="AW46" i="2"/>
  <c r="N47" i="2"/>
  <c r="AI47" i="2"/>
  <c r="N48" i="2"/>
  <c r="U48" i="2"/>
  <c r="AB48" i="2"/>
  <c r="AW48" i="2"/>
  <c r="N50" i="2"/>
  <c r="U50" i="2"/>
  <c r="AI50" i="2"/>
  <c r="AP50" i="2"/>
  <c r="AB51" i="2"/>
  <c r="AI51" i="2"/>
  <c r="AW51" i="2"/>
  <c r="N52" i="2"/>
  <c r="AP52" i="2"/>
  <c r="AW52" i="2"/>
  <c r="U53" i="2"/>
  <c r="AB53" i="2"/>
  <c r="N54" i="2"/>
  <c r="U54" i="2"/>
  <c r="AI54" i="2"/>
  <c r="AP54" i="2"/>
  <c r="AB55" i="2"/>
  <c r="AI55" i="2"/>
  <c r="AW55" i="2"/>
  <c r="N56" i="2"/>
  <c r="AP56" i="2"/>
  <c r="AW56" i="2"/>
  <c r="U57" i="2"/>
  <c r="AB57" i="2"/>
  <c r="N58" i="2"/>
  <c r="U58" i="2"/>
  <c r="AI58" i="2"/>
  <c r="AP58" i="2"/>
  <c r="AB59" i="2"/>
  <c r="AI59" i="2"/>
  <c r="AW59" i="2"/>
  <c r="AB61" i="2"/>
  <c r="AW61" i="2"/>
  <c r="N62" i="2"/>
  <c r="U62" i="2"/>
  <c r="AP62" i="2"/>
  <c r="U63" i="2"/>
  <c r="AB63" i="2"/>
  <c r="AI63" i="2"/>
  <c r="N64" i="2"/>
  <c r="AI64" i="2"/>
  <c r="AP64" i="2"/>
  <c r="N65" i="2"/>
  <c r="U65" i="2"/>
  <c r="AW65" i="2"/>
  <c r="N66" i="2"/>
  <c r="AB66" i="2"/>
  <c r="AI66" i="2"/>
  <c r="U67" i="2"/>
  <c r="AP2" i="2"/>
  <c r="U3" i="2"/>
  <c r="AB5" i="2"/>
  <c r="AI6" i="2"/>
  <c r="AW6" i="2"/>
  <c r="AP16" i="2"/>
  <c r="AP17" i="2"/>
  <c r="U18" i="2"/>
  <c r="AW18" i="2"/>
  <c r="AI19" i="2"/>
  <c r="U20" i="2"/>
  <c r="U121" i="2" s="1"/>
  <c r="AW20" i="2"/>
  <c r="AI21" i="2"/>
  <c r="U22" i="2"/>
  <c r="AW22" i="2"/>
  <c r="AI23" i="2"/>
  <c r="U24" i="2"/>
  <c r="AW24" i="2"/>
  <c r="AB27" i="2"/>
  <c r="AP27" i="2"/>
  <c r="AP28" i="2"/>
  <c r="N29" i="2"/>
  <c r="AI29" i="2"/>
  <c r="AI30" i="2"/>
  <c r="AP31" i="2"/>
  <c r="N32" i="2"/>
  <c r="AI32" i="2"/>
  <c r="N33" i="2"/>
  <c r="AP3" i="2"/>
  <c r="AW3" i="2"/>
  <c r="AB4" i="2"/>
  <c r="AW4" i="2"/>
  <c r="N5" i="2"/>
  <c r="U5" i="2"/>
  <c r="AA5" i="2"/>
  <c r="AG5" i="2"/>
  <c r="L8" i="2"/>
  <c r="N8" i="2" s="1"/>
  <c r="AI8" i="2"/>
  <c r="AP8" i="2"/>
  <c r="N9" i="2"/>
  <c r="U9" i="2"/>
  <c r="AW9" i="2"/>
  <c r="N10" i="2"/>
  <c r="AB10" i="2"/>
  <c r="AI10" i="2"/>
  <c r="U11" i="2"/>
  <c r="AB11" i="2"/>
  <c r="AP11" i="2"/>
  <c r="AW11" i="2"/>
  <c r="AI12" i="2"/>
  <c r="AP12" i="2"/>
  <c r="N13" i="2"/>
  <c r="U13" i="2"/>
  <c r="AW13" i="2"/>
  <c r="N14" i="2"/>
  <c r="AB14" i="2"/>
  <c r="AI14" i="2"/>
  <c r="U15" i="2"/>
  <c r="AB15" i="2"/>
  <c r="AP15" i="2"/>
  <c r="AW15" i="2"/>
  <c r="Z16" i="2"/>
  <c r="AB16" i="2" s="1"/>
  <c r="AI25" i="2"/>
  <c r="AP25" i="2"/>
  <c r="N26" i="2"/>
  <c r="U26" i="2"/>
  <c r="N31" i="2"/>
  <c r="AR34" i="2"/>
  <c r="AB37" i="2"/>
  <c r="AI37" i="2"/>
  <c r="N38" i="2"/>
  <c r="U38" i="2"/>
  <c r="AP38" i="2"/>
  <c r="AW38" i="2"/>
  <c r="AB39" i="2"/>
  <c r="AI39" i="2"/>
  <c r="N40" i="2"/>
  <c r="U40" i="2"/>
  <c r="AB40" i="2"/>
  <c r="AW40" i="2"/>
  <c r="AG49" i="2"/>
  <c r="L85" i="2"/>
  <c r="M85" i="2"/>
  <c r="AB67" i="2"/>
  <c r="AP67" i="2"/>
  <c r="AW67" i="2"/>
  <c r="AI68" i="2"/>
  <c r="AP68" i="2"/>
  <c r="N69" i="2"/>
  <c r="U69" i="2"/>
  <c r="AW69" i="2"/>
  <c r="N70" i="2"/>
  <c r="AB70" i="2"/>
  <c r="AI70" i="2"/>
  <c r="U71" i="2"/>
  <c r="AB71" i="2"/>
  <c r="AP71" i="2"/>
  <c r="AW71" i="2"/>
  <c r="AI72" i="2"/>
  <c r="AP72" i="2"/>
  <c r="N73" i="2"/>
  <c r="U73" i="2"/>
  <c r="AB73" i="2"/>
  <c r="AP73" i="2"/>
  <c r="AW73" i="2"/>
  <c r="AI74" i="2"/>
  <c r="AP74" i="2"/>
  <c r="U75" i="2"/>
  <c r="AB75" i="2"/>
  <c r="AW75" i="2"/>
  <c r="M80" i="2"/>
  <c r="AI80" i="2"/>
  <c r="AP80" i="2"/>
  <c r="W81" i="2"/>
  <c r="U82" i="2"/>
  <c r="AB82" i="2"/>
  <c r="N83" i="2"/>
  <c r="U83" i="2"/>
  <c r="AI83" i="2"/>
  <c r="AP83" i="2"/>
  <c r="AW83" i="2"/>
  <c r="U85" i="2"/>
  <c r="U100" i="2"/>
  <c r="AB100" i="2"/>
  <c r="AP100" i="2"/>
  <c r="AW100" i="2"/>
  <c r="AI101" i="2"/>
  <c r="N102" i="2"/>
  <c r="U102" i="2"/>
  <c r="AB102" i="2"/>
  <c r="AW102" i="2"/>
  <c r="N103" i="2"/>
  <c r="AB103" i="2"/>
  <c r="AI103" i="2"/>
  <c r="U104" i="2"/>
  <c r="AP104" i="2"/>
  <c r="AW104" i="2"/>
  <c r="N105" i="2"/>
  <c r="AI105" i="2"/>
  <c r="AP105" i="2"/>
  <c r="N106" i="2"/>
  <c r="U106" i="2"/>
  <c r="AW106" i="2"/>
  <c r="AP107" i="2"/>
  <c r="AW107" i="2"/>
  <c r="N108" i="2"/>
  <c r="AI108" i="2"/>
  <c r="AP108" i="2"/>
  <c r="N109" i="2"/>
  <c r="U109" i="2"/>
  <c r="AW109" i="2"/>
  <c r="X110" i="2"/>
  <c r="U111" i="2"/>
  <c r="AB111" i="2"/>
  <c r="AW111" i="2"/>
  <c r="N112" i="2"/>
  <c r="U112" i="2"/>
  <c r="AP112" i="2"/>
  <c r="AB113" i="2"/>
  <c r="AI113" i="2"/>
  <c r="AW113" i="2"/>
  <c r="N114" i="2"/>
  <c r="AI114" i="2"/>
  <c r="AP114" i="2"/>
  <c r="AW114" i="2"/>
  <c r="U116" i="2"/>
  <c r="AB116" i="2"/>
  <c r="AP76" i="2"/>
  <c r="U77" i="2"/>
  <c r="AB77" i="2"/>
  <c r="AI77" i="2"/>
  <c r="AW77" i="2"/>
  <c r="N78" i="2"/>
  <c r="AP78" i="2"/>
  <c r="AW78" i="2"/>
  <c r="AB79" i="2"/>
  <c r="AW79" i="2"/>
  <c r="U80" i="2"/>
  <c r="AS80" i="2"/>
  <c r="I81" i="2"/>
  <c r="AI85" i="2"/>
  <c r="AW85" i="2"/>
  <c r="N86" i="2"/>
  <c r="U86" i="2"/>
  <c r="AP86" i="2"/>
  <c r="U87" i="2"/>
  <c r="AB87" i="2"/>
  <c r="N88" i="2"/>
  <c r="U88" i="2"/>
  <c r="AI88" i="2"/>
  <c r="AP88" i="2"/>
  <c r="AW88" i="2"/>
  <c r="AB89" i="2"/>
  <c r="AW89" i="2"/>
  <c r="N90" i="2"/>
  <c r="AP90" i="2"/>
  <c r="AW90" i="2"/>
  <c r="U91" i="2"/>
  <c r="AB91" i="2"/>
  <c r="AI91" i="2"/>
  <c r="N92" i="2"/>
  <c r="AI92" i="2"/>
  <c r="AP92" i="2"/>
  <c r="AB93" i="2"/>
  <c r="AI93" i="2"/>
  <c r="AW93" i="2"/>
  <c r="N94" i="2"/>
  <c r="U94" i="2"/>
  <c r="AP94" i="2"/>
  <c r="U95" i="2"/>
  <c r="AB95" i="2"/>
  <c r="N96" i="2"/>
  <c r="U96" i="2"/>
  <c r="AI96" i="2"/>
  <c r="AP96" i="2"/>
  <c r="AW96" i="2"/>
  <c r="AB97" i="2"/>
  <c r="AW97" i="2"/>
  <c r="N98" i="2"/>
  <c r="AP98" i="2"/>
  <c r="AW98" i="2"/>
  <c r="U99" i="2"/>
  <c r="AB99" i="2"/>
  <c r="AI99" i="2"/>
  <c r="AB115" i="2"/>
  <c r="AW115" i="2"/>
  <c r="AV116" i="2"/>
  <c r="AU34" i="2"/>
  <c r="AW34" i="2" s="1"/>
  <c r="AV34" i="2"/>
  <c r="AB8" i="2"/>
  <c r="AB31" i="2"/>
  <c r="AI31" i="2"/>
  <c r="AD49" i="2"/>
  <c r="AI49" i="2" s="1"/>
  <c r="AE49" i="2"/>
  <c r="AA8" i="2"/>
  <c r="AW8" i="2"/>
  <c r="J16" i="2"/>
  <c r="X16" i="2"/>
  <c r="AA31" i="2"/>
  <c r="W49" i="2"/>
  <c r="AB49" i="2" s="1"/>
  <c r="X49" i="2"/>
  <c r="AR60" i="2"/>
  <c r="AW60" i="2" s="1"/>
  <c r="AS60" i="2"/>
  <c r="T16" i="2"/>
  <c r="J30" i="2"/>
  <c r="AE31" i="2"/>
  <c r="W34" i="2"/>
  <c r="AB34" i="2" s="1"/>
  <c r="X34" i="2"/>
  <c r="AG35" i="2"/>
  <c r="AI35" i="2" s="1"/>
  <c r="AH35" i="2"/>
  <c r="AW64" i="2"/>
  <c r="W76" i="2"/>
  <c r="AB76" i="2" s="1"/>
  <c r="X76" i="2"/>
  <c r="Z80" i="2"/>
  <c r="AB80" i="2" s="1"/>
  <c r="AA80" i="2"/>
  <c r="L81" i="2"/>
  <c r="N81" i="2" s="1"/>
  <c r="M81" i="2"/>
  <c r="I110" i="2"/>
  <c r="N110" i="2" s="1"/>
  <c r="J110" i="2"/>
  <c r="AR110" i="2"/>
  <c r="AW110" i="2" s="1"/>
  <c r="AS110" i="2"/>
  <c r="AR81" i="2"/>
  <c r="AW81" i="2" s="1"/>
  <c r="AS81" i="2"/>
  <c r="Z85" i="2"/>
  <c r="AB85" i="2" s="1"/>
  <c r="AA85" i="2"/>
  <c r="N80" i="2"/>
  <c r="AB81" i="2"/>
  <c r="N85" i="2"/>
  <c r="AW116" i="2"/>
  <c r="AB121" i="2" l="1"/>
  <c r="AP121" i="2"/>
  <c r="AW121" i="2"/>
  <c r="AI5" i="2"/>
  <c r="AI121" i="2" s="1"/>
  <c r="AW129" i="1"/>
  <c r="AP129" i="1"/>
  <c r="AI129" i="1"/>
  <c r="Z129" i="1"/>
  <c r="AB129" i="1" s="1"/>
  <c r="W129" i="1"/>
  <c r="U129" i="1"/>
  <c r="L129" i="1"/>
  <c r="N129" i="1" s="1"/>
  <c r="I129" i="1"/>
  <c r="AW128" i="1"/>
  <c r="AP128" i="1"/>
  <c r="AI128" i="1"/>
  <c r="Z128" i="1"/>
  <c r="AB128" i="1" s="1"/>
  <c r="W128" i="1"/>
  <c r="U128" i="1"/>
  <c r="L128" i="1"/>
  <c r="N128" i="1" s="1"/>
  <c r="I128" i="1"/>
  <c r="AW127" i="1"/>
  <c r="AP127" i="1"/>
  <c r="AI127" i="1"/>
  <c r="U127" i="1"/>
  <c r="Z127" i="1"/>
  <c r="AB127" i="1" s="1"/>
  <c r="W127" i="1"/>
  <c r="L127" i="1"/>
  <c r="I127" i="1"/>
  <c r="N127" i="1" s="1"/>
  <c r="AW126" i="1"/>
  <c r="AP126" i="1"/>
  <c r="AI126" i="1"/>
  <c r="U126" i="1"/>
  <c r="N126" i="1"/>
  <c r="Z126" i="1"/>
  <c r="AB126" i="1" s="1"/>
  <c r="W126" i="1"/>
  <c r="L126" i="1"/>
  <c r="I126" i="1"/>
  <c r="I107" i="1" l="1"/>
  <c r="AW114" i="1" l="1"/>
  <c r="AP114" i="1"/>
  <c r="AI114" i="1"/>
  <c r="AB114" i="1"/>
  <c r="U114" i="1"/>
  <c r="N114" i="1"/>
  <c r="Z120" i="1" l="1"/>
  <c r="W120" i="1"/>
  <c r="L120" i="1"/>
  <c r="Z116" i="1" l="1"/>
  <c r="L116" i="1"/>
  <c r="I125" i="1" l="1"/>
  <c r="N125" i="1" s="1"/>
  <c r="AW125" i="1"/>
  <c r="AP125" i="1"/>
  <c r="AI125" i="1"/>
  <c r="AB125" i="1"/>
  <c r="U125" i="1"/>
  <c r="Z117" i="1"/>
  <c r="L117" i="1"/>
  <c r="AB124" i="1" l="1"/>
  <c r="U124" i="1"/>
  <c r="N124" i="1"/>
  <c r="AB123" i="1"/>
  <c r="AA123" i="1"/>
  <c r="Y123" i="1"/>
  <c r="W123" i="1"/>
  <c r="U123" i="1"/>
  <c r="M123" i="1"/>
  <c r="K123" i="1"/>
  <c r="I123" i="1"/>
  <c r="N123" i="1" s="1"/>
  <c r="AW124" i="1" l="1"/>
  <c r="AP124" i="1"/>
  <c r="AI124" i="1"/>
  <c r="AW123" i="1"/>
  <c r="AP123" i="1"/>
  <c r="AI123" i="1"/>
  <c r="U110" i="1" l="1"/>
  <c r="AW110" i="1"/>
  <c r="AP110" i="1"/>
  <c r="AI110" i="1"/>
  <c r="AB110" i="1"/>
  <c r="L110" i="1"/>
  <c r="N110" i="1" s="1"/>
  <c r="AB108" i="1" l="1"/>
  <c r="AB107" i="1"/>
  <c r="S108" i="1"/>
  <c r="L108" i="1"/>
  <c r="N108" i="1" s="1"/>
  <c r="AW108" i="1" l="1"/>
  <c r="AP108" i="1"/>
  <c r="AI108" i="1"/>
  <c r="U108" i="1"/>
  <c r="AW107" i="1"/>
  <c r="AP107" i="1"/>
  <c r="AI107" i="1"/>
  <c r="S107" i="1"/>
  <c r="P107" i="1"/>
  <c r="L107" i="1"/>
  <c r="U107" i="1" l="1"/>
  <c r="N107" i="1"/>
  <c r="AW121" i="1"/>
  <c r="Z122" i="1"/>
  <c r="W122" i="1"/>
  <c r="L122" i="1"/>
  <c r="I122" i="1"/>
  <c r="Z121" i="1"/>
  <c r="W121" i="1"/>
  <c r="AW122" i="1"/>
  <c r="AP122" i="1"/>
  <c r="AI122" i="1"/>
  <c r="U122" i="1"/>
  <c r="AP121" i="1"/>
  <c r="AI121" i="1"/>
  <c r="U121" i="1"/>
  <c r="L121" i="1"/>
  <c r="I121" i="1"/>
  <c r="I120" i="1"/>
  <c r="N121" i="1" l="1"/>
  <c r="AB121" i="1"/>
  <c r="AB122" i="1"/>
  <c r="N122" i="1"/>
  <c r="L105" i="1"/>
  <c r="Z113" i="1"/>
  <c r="L113" i="1"/>
  <c r="Z105" i="1"/>
  <c r="AW120" i="1" l="1"/>
  <c r="AP120" i="1"/>
  <c r="AI120" i="1"/>
  <c r="AB120" i="1"/>
  <c r="U120" i="1"/>
  <c r="N120" i="1"/>
  <c r="AW109" i="1" l="1"/>
  <c r="AP109" i="1"/>
  <c r="AI109" i="1"/>
  <c r="U109" i="1"/>
  <c r="W109" i="1"/>
  <c r="AB109" i="1" s="1"/>
  <c r="I109" i="1"/>
  <c r="N109" i="1" s="1"/>
  <c r="AW104" i="1" l="1"/>
  <c r="AP104" i="1"/>
  <c r="AI104" i="1"/>
  <c r="Z104" i="1"/>
  <c r="AB104" i="1" s="1"/>
  <c r="L104" i="1"/>
  <c r="N104" i="1" s="1"/>
  <c r="U104" i="1"/>
  <c r="M83" i="1" l="1"/>
  <c r="L83" i="1"/>
  <c r="K83" i="1"/>
  <c r="J83" i="1"/>
  <c r="I83" i="1"/>
  <c r="H83" i="1"/>
  <c r="AU88" i="1"/>
  <c r="AR88" i="1"/>
  <c r="AA88" i="1"/>
  <c r="Z88" i="1"/>
  <c r="Y88" i="1"/>
  <c r="X88" i="1"/>
  <c r="W88" i="1"/>
  <c r="V88" i="1"/>
  <c r="M88" i="1"/>
  <c r="L88" i="1"/>
  <c r="K88" i="1"/>
  <c r="J88" i="1"/>
  <c r="I88" i="1"/>
  <c r="H88" i="1"/>
  <c r="AU87" i="1"/>
  <c r="AR87" i="1"/>
  <c r="AA87" i="1"/>
  <c r="Z87" i="1"/>
  <c r="Y87" i="1"/>
  <c r="X87" i="1"/>
  <c r="W87" i="1"/>
  <c r="V87" i="1"/>
  <c r="M87" i="1"/>
  <c r="L87" i="1"/>
  <c r="K87" i="1"/>
  <c r="J87" i="1"/>
  <c r="I87" i="1"/>
  <c r="H87" i="1"/>
  <c r="W52" i="1"/>
  <c r="L52" i="1"/>
  <c r="I52" i="1"/>
  <c r="AU2" i="1"/>
  <c r="AW2" i="1" s="1"/>
  <c r="AA2" i="1"/>
  <c r="Z2" i="1"/>
  <c r="Y2" i="1"/>
  <c r="W2" i="1"/>
  <c r="M2" i="1"/>
  <c r="L2" i="1"/>
  <c r="K2" i="1"/>
  <c r="L6" i="1"/>
  <c r="AU6" i="1"/>
  <c r="AP2" i="1"/>
  <c r="AI2" i="1"/>
  <c r="U2" i="1"/>
  <c r="I2" i="1"/>
  <c r="M6" i="1"/>
  <c r="K6" i="1"/>
  <c r="AA6" i="1"/>
  <c r="Y6" i="1"/>
  <c r="Z103" i="1"/>
  <c r="L103" i="1"/>
  <c r="N2" i="1" l="1"/>
  <c r="AB2" i="1"/>
  <c r="AW103" i="1"/>
  <c r="AP103" i="1"/>
  <c r="AI103" i="1"/>
  <c r="AB103" i="1"/>
  <c r="U103" i="1"/>
  <c r="N103" i="1"/>
  <c r="W113" i="1"/>
  <c r="AB113" i="1" s="1"/>
  <c r="U113" i="1"/>
  <c r="L41" i="1"/>
  <c r="I41" i="1"/>
  <c r="Z8" i="1"/>
  <c r="W8" i="1"/>
  <c r="L8" i="1"/>
  <c r="I8" i="1"/>
  <c r="Z23" i="1"/>
  <c r="W23" i="1"/>
  <c r="L23" i="1"/>
  <c r="I23" i="1"/>
  <c r="Z95" i="1"/>
  <c r="AB95" i="1" s="1"/>
  <c r="L95" i="1"/>
  <c r="N95" i="1" s="1"/>
  <c r="Z96" i="1"/>
  <c r="AB96" i="1" s="1"/>
  <c r="L96" i="1"/>
  <c r="N96" i="1" s="1"/>
  <c r="Z93" i="1"/>
  <c r="AB93" i="1" s="1"/>
  <c r="L93" i="1"/>
  <c r="N93" i="1" s="1"/>
  <c r="Z85" i="1"/>
  <c r="AB85" i="1" s="1"/>
  <c r="L85" i="1"/>
  <c r="N85" i="1" s="1"/>
  <c r="Z80" i="1"/>
  <c r="AB80" i="1" s="1"/>
  <c r="L80" i="1"/>
  <c r="N80" i="1" s="1"/>
  <c r="Z72" i="1"/>
  <c r="AB72" i="1" s="1"/>
  <c r="L72" i="1"/>
  <c r="N72" i="1" s="1"/>
  <c r="Z62" i="1"/>
  <c r="AB62" i="1" s="1"/>
  <c r="L62" i="1"/>
  <c r="N62" i="1" s="1"/>
  <c r="Z59" i="1"/>
  <c r="AB59" i="1" s="1"/>
  <c r="L59" i="1"/>
  <c r="N59" i="1" s="1"/>
  <c r="Z54" i="1"/>
  <c r="AB54" i="1" s="1"/>
  <c r="L54" i="1"/>
  <c r="N54" i="1" s="1"/>
  <c r="Z51" i="1"/>
  <c r="AB51" i="1" s="1"/>
  <c r="L51" i="1"/>
  <c r="N51" i="1" s="1"/>
  <c r="Z49" i="1"/>
  <c r="AB49" i="1" s="1"/>
  <c r="L49" i="1"/>
  <c r="N49" i="1" s="1"/>
  <c r="Z45" i="1"/>
  <c r="AB45" i="1" s="1"/>
  <c r="L45" i="1"/>
  <c r="N45" i="1" s="1"/>
  <c r="N35" i="1"/>
  <c r="Z30" i="1"/>
  <c r="AB30" i="1" s="1"/>
  <c r="L30" i="1"/>
  <c r="N30" i="1" s="1"/>
  <c r="Z50" i="1"/>
  <c r="W50" i="1"/>
  <c r="L50" i="1"/>
  <c r="I50" i="1"/>
  <c r="Z98" i="1"/>
  <c r="AB98" i="1" s="1"/>
  <c r="L98" i="1"/>
  <c r="N98" i="1" s="1"/>
  <c r="Z76" i="1"/>
  <c r="AB76" i="1" s="1"/>
  <c r="L76" i="1"/>
  <c r="N76" i="1" s="1"/>
  <c r="Z71" i="1"/>
  <c r="AB71" i="1" s="1"/>
  <c r="L71" i="1"/>
  <c r="N71" i="1" s="1"/>
  <c r="Z67" i="1"/>
  <c r="AB67" i="1" s="1"/>
  <c r="L67" i="1"/>
  <c r="N67" i="1" s="1"/>
  <c r="Z64" i="1"/>
  <c r="AB64" i="1" s="1"/>
  <c r="L64" i="1"/>
  <c r="N64" i="1" s="1"/>
  <c r="Z63" i="1"/>
  <c r="AB63" i="1" s="1"/>
  <c r="L63" i="1"/>
  <c r="N63" i="1" s="1"/>
  <c r="Z78" i="1"/>
  <c r="AB78" i="1" s="1"/>
  <c r="L78" i="1"/>
  <c r="N78" i="1" s="1"/>
  <c r="Z16" i="1"/>
  <c r="AB16" i="1" s="1"/>
  <c r="L16" i="1"/>
  <c r="N16" i="1" s="1"/>
  <c r="Z44" i="1"/>
  <c r="W44" i="1"/>
  <c r="I44" i="1"/>
  <c r="Z7" i="1"/>
  <c r="W7" i="1"/>
  <c r="I7" i="1"/>
  <c r="L7" i="1"/>
  <c r="Z25" i="1"/>
  <c r="W25" i="1"/>
  <c r="I25" i="1"/>
  <c r="Z3" i="1"/>
  <c r="AB3" i="1" s="1"/>
  <c r="L3" i="1"/>
  <c r="N3" i="1" s="1"/>
  <c r="Z81" i="1"/>
  <c r="W81" i="1"/>
  <c r="I81" i="1"/>
  <c r="Z38" i="1"/>
  <c r="AB38" i="1" s="1"/>
  <c r="N84" i="1"/>
  <c r="N28" i="1"/>
  <c r="N90" i="1"/>
  <c r="L38" i="1"/>
  <c r="N38" i="1" s="1"/>
  <c r="L81" i="1"/>
  <c r="W53" i="1"/>
  <c r="AB53" i="1" s="1"/>
  <c r="AW41" i="1"/>
  <c r="AW8" i="1"/>
  <c r="AW23" i="1"/>
  <c r="AW95" i="1"/>
  <c r="AW96" i="1"/>
  <c r="AW93" i="1"/>
  <c r="AW85" i="1"/>
  <c r="AW84" i="1"/>
  <c r="AW80" i="1"/>
  <c r="AW72" i="1"/>
  <c r="AW62" i="1"/>
  <c r="AW59" i="1"/>
  <c r="AW54" i="1"/>
  <c r="AW51" i="1"/>
  <c r="AW49" i="1"/>
  <c r="AW45" i="1"/>
  <c r="AW35" i="1"/>
  <c r="AW30" i="1"/>
  <c r="AW50" i="1"/>
  <c r="AW98" i="1"/>
  <c r="AW76" i="1"/>
  <c r="AW71" i="1"/>
  <c r="AW67" i="1"/>
  <c r="AW64" i="1"/>
  <c r="AW63" i="1"/>
  <c r="AW78" i="1"/>
  <c r="AW16" i="1"/>
  <c r="AW28" i="1"/>
  <c r="AW3" i="1"/>
  <c r="AW69" i="1"/>
  <c r="AW44" i="1"/>
  <c r="AW7" i="1"/>
  <c r="AW25" i="1"/>
  <c r="AW38" i="1"/>
  <c r="AW90" i="1"/>
  <c r="AW81" i="1"/>
  <c r="AW12" i="1"/>
  <c r="AW61" i="1"/>
  <c r="AW53" i="1"/>
  <c r="AP41" i="1"/>
  <c r="AP8" i="1"/>
  <c r="AP23" i="1"/>
  <c r="AP95" i="1"/>
  <c r="AP96" i="1"/>
  <c r="AP93" i="1"/>
  <c r="AP85" i="1"/>
  <c r="AP84" i="1"/>
  <c r="AP80" i="1"/>
  <c r="AP72" i="1"/>
  <c r="AP62" i="1"/>
  <c r="AP59" i="1"/>
  <c r="AP54" i="1"/>
  <c r="AP51" i="1"/>
  <c r="AP49" i="1"/>
  <c r="AP45" i="1"/>
  <c r="AP35" i="1"/>
  <c r="AP30" i="1"/>
  <c r="AP50" i="1"/>
  <c r="AP98" i="1"/>
  <c r="AP76" i="1"/>
  <c r="AP71" i="1"/>
  <c r="AP67" i="1"/>
  <c r="AP64" i="1"/>
  <c r="AP63" i="1"/>
  <c r="AP78" i="1"/>
  <c r="AP16" i="1"/>
  <c r="AP28" i="1"/>
  <c r="AP3" i="1"/>
  <c r="AP69" i="1"/>
  <c r="AP44" i="1"/>
  <c r="AP7" i="1"/>
  <c r="AP25" i="1"/>
  <c r="AP38" i="1"/>
  <c r="AP90" i="1"/>
  <c r="AP81" i="1"/>
  <c r="AP12" i="1"/>
  <c r="AP61" i="1"/>
  <c r="AP53" i="1"/>
  <c r="AI41" i="1"/>
  <c r="AI8" i="1"/>
  <c r="AI23" i="1"/>
  <c r="AI95" i="1"/>
  <c r="AI96" i="1"/>
  <c r="AI93" i="1"/>
  <c r="AI85" i="1"/>
  <c r="AI84" i="1"/>
  <c r="AI80" i="1"/>
  <c r="AI72" i="1"/>
  <c r="AI62" i="1"/>
  <c r="AI59" i="1"/>
  <c r="AI54" i="1"/>
  <c r="AI51" i="1"/>
  <c r="AI49" i="1"/>
  <c r="AI45" i="1"/>
  <c r="AI35" i="1"/>
  <c r="AI30" i="1"/>
  <c r="AI50" i="1"/>
  <c r="AI98" i="1"/>
  <c r="AI76" i="1"/>
  <c r="AI71" i="1"/>
  <c r="AI67" i="1"/>
  <c r="AI64" i="1"/>
  <c r="AI63" i="1"/>
  <c r="AI78" i="1"/>
  <c r="AI16" i="1"/>
  <c r="AI28" i="1"/>
  <c r="AI3" i="1"/>
  <c r="AI69" i="1"/>
  <c r="AI44" i="1"/>
  <c r="AI7" i="1"/>
  <c r="AI25" i="1"/>
  <c r="AI38" i="1"/>
  <c r="AI90" i="1"/>
  <c r="AI81" i="1"/>
  <c r="AI12" i="1"/>
  <c r="AI61" i="1"/>
  <c r="AI53" i="1"/>
  <c r="AB41" i="1"/>
  <c r="AB84" i="1"/>
  <c r="AB35" i="1"/>
  <c r="AB28" i="1"/>
  <c r="AB90" i="1"/>
  <c r="U41" i="1"/>
  <c r="U8" i="1"/>
  <c r="U23" i="1"/>
  <c r="U95" i="1"/>
  <c r="U96" i="1"/>
  <c r="U93" i="1"/>
  <c r="U85" i="1"/>
  <c r="U84" i="1"/>
  <c r="U80" i="1"/>
  <c r="U72" i="1"/>
  <c r="U62" i="1"/>
  <c r="U59" i="1"/>
  <c r="U54" i="1"/>
  <c r="U51" i="1"/>
  <c r="U49" i="1"/>
  <c r="U45" i="1"/>
  <c r="U35" i="1"/>
  <c r="U30" i="1"/>
  <c r="U50" i="1"/>
  <c r="U98" i="1"/>
  <c r="U76" i="1"/>
  <c r="U71" i="1"/>
  <c r="U67" i="1"/>
  <c r="U64" i="1"/>
  <c r="U63" i="1"/>
  <c r="U78" i="1"/>
  <c r="U16" i="1"/>
  <c r="U28" i="1"/>
  <c r="U3" i="1"/>
  <c r="U69" i="1"/>
  <c r="U44" i="1"/>
  <c r="U7" i="1"/>
  <c r="U25" i="1"/>
  <c r="U38" i="1"/>
  <c r="U90" i="1"/>
  <c r="U81" i="1"/>
  <c r="U12" i="1"/>
  <c r="U61" i="1"/>
  <c r="U53" i="1"/>
  <c r="Z61" i="1"/>
  <c r="W61" i="1"/>
  <c r="I61" i="1"/>
  <c r="Z69" i="1"/>
  <c r="W69" i="1"/>
  <c r="I69" i="1"/>
  <c r="L69" i="1"/>
  <c r="L44" i="1"/>
  <c r="S79" i="1"/>
  <c r="P79" i="1"/>
  <c r="I79" i="1"/>
  <c r="L79" i="1"/>
  <c r="L61" i="1"/>
  <c r="Z12" i="1"/>
  <c r="W12" i="1"/>
  <c r="L12" i="1"/>
  <c r="I12" i="1"/>
  <c r="L25" i="1"/>
  <c r="I53" i="1"/>
  <c r="N53" i="1" s="1"/>
  <c r="AI113" i="1"/>
  <c r="AP113" i="1"/>
  <c r="AW113" i="1"/>
  <c r="I113" i="1"/>
  <c r="N41" i="1" l="1"/>
  <c r="N81" i="1"/>
  <c r="N8" i="1"/>
  <c r="AB8" i="1"/>
  <c r="N23" i="1"/>
  <c r="N69" i="1"/>
  <c r="AB23" i="1"/>
  <c r="N25" i="1"/>
  <c r="AB81" i="1"/>
  <c r="AB7" i="1"/>
  <c r="N44" i="1"/>
  <c r="AB69" i="1"/>
  <c r="AB25" i="1"/>
  <c r="AB12" i="1"/>
  <c r="AB61" i="1"/>
  <c r="AB44" i="1"/>
  <c r="AB50" i="1"/>
  <c r="N61" i="1"/>
  <c r="N12" i="1"/>
  <c r="N7" i="1"/>
  <c r="N50" i="1"/>
  <c r="N113" i="1"/>
  <c r="Z97" i="1"/>
  <c r="L97" i="1"/>
  <c r="Z111" i="1"/>
  <c r="L111" i="1"/>
  <c r="Z118" i="1" l="1"/>
  <c r="W118" i="1"/>
  <c r="L118" i="1"/>
  <c r="I118" i="1"/>
  <c r="W117" i="1"/>
  <c r="I117" i="1"/>
  <c r="AI94" i="1" l="1"/>
  <c r="AW94" i="1"/>
  <c r="AP94" i="1"/>
  <c r="AB94" i="1"/>
  <c r="U94" i="1"/>
  <c r="N94" i="1"/>
  <c r="I105" i="1" l="1"/>
  <c r="L86" i="1" l="1"/>
  <c r="I86" i="1"/>
  <c r="W86" i="1"/>
  <c r="Z86" i="1"/>
  <c r="AI97" i="1"/>
  <c r="AI111" i="1"/>
  <c r="AI101" i="1"/>
  <c r="AI102" i="1"/>
  <c r="AI92" i="1"/>
  <c r="AI79" i="1"/>
  <c r="AI116" i="1"/>
  <c r="AI89" i="1"/>
  <c r="AV83" i="1"/>
  <c r="AU83" i="1"/>
  <c r="AT83" i="1"/>
  <c r="AS83" i="1"/>
  <c r="AR83" i="1"/>
  <c r="AQ83" i="1"/>
  <c r="AA83" i="1"/>
  <c r="Z83" i="1"/>
  <c r="Y83" i="1"/>
  <c r="X83" i="1"/>
  <c r="W83" i="1"/>
  <c r="V83" i="1"/>
  <c r="Z89" i="1"/>
  <c r="L89" i="1"/>
  <c r="W116" i="1"/>
  <c r="I116" i="1"/>
  <c r="Z92" i="1"/>
  <c r="L92" i="1"/>
  <c r="Z101" i="1"/>
  <c r="W101" i="1"/>
  <c r="I101" i="1"/>
  <c r="L101" i="1"/>
  <c r="W102" i="1"/>
  <c r="I102" i="1"/>
  <c r="AB83" i="1" l="1"/>
  <c r="AW83" i="1"/>
  <c r="AW97" i="1"/>
  <c r="AW111" i="1"/>
  <c r="AW101" i="1"/>
  <c r="AW102" i="1"/>
  <c r="AW92" i="1"/>
  <c r="AW79" i="1"/>
  <c r="AW116" i="1"/>
  <c r="AW89" i="1"/>
  <c r="AP97" i="1"/>
  <c r="AP111" i="1"/>
  <c r="AP101" i="1"/>
  <c r="AP102" i="1"/>
  <c r="AP92" i="1"/>
  <c r="AP79" i="1"/>
  <c r="AP116" i="1"/>
  <c r="AP89" i="1"/>
  <c r="AB79" i="1"/>
  <c r="AB97" i="1"/>
  <c r="AB111" i="1"/>
  <c r="AB101" i="1"/>
  <c r="AB102" i="1"/>
  <c r="AB92" i="1"/>
  <c r="AB116" i="1"/>
  <c r="AB89" i="1"/>
  <c r="U97" i="1"/>
  <c r="U111" i="1"/>
  <c r="U101" i="1"/>
  <c r="U102" i="1"/>
  <c r="U92" i="1"/>
  <c r="U79" i="1"/>
  <c r="U116" i="1"/>
  <c r="U89" i="1"/>
  <c r="N97" i="1"/>
  <c r="N111" i="1"/>
  <c r="N101" i="1"/>
  <c r="N102" i="1"/>
  <c r="N92" i="1"/>
  <c r="N79" i="1"/>
  <c r="N116" i="1"/>
  <c r="N89" i="1"/>
  <c r="Z91" i="1" l="1"/>
  <c r="W91" i="1"/>
  <c r="I91" i="1"/>
  <c r="L91" i="1"/>
  <c r="Z75" i="1"/>
  <c r="AB75" i="1" s="1"/>
  <c r="L75" i="1"/>
  <c r="N75" i="1" s="1"/>
  <c r="Z77" i="1"/>
  <c r="AB77" i="1" s="1"/>
  <c r="L77" i="1"/>
  <c r="N77" i="1" s="1"/>
  <c r="Z82" i="1"/>
  <c r="AB82" i="1" s="1"/>
  <c r="L82" i="1"/>
  <c r="N82" i="1" s="1"/>
  <c r="Z74" i="1"/>
  <c r="L74" i="1"/>
  <c r="N74" i="1" s="1"/>
  <c r="AW86" i="1"/>
  <c r="AW88" i="1"/>
  <c r="AW87" i="1"/>
  <c r="AW91" i="1"/>
  <c r="AW75" i="1"/>
  <c r="AW74" i="1"/>
  <c r="AW82" i="1"/>
  <c r="AW77" i="1"/>
  <c r="AP86" i="1"/>
  <c r="AP88" i="1"/>
  <c r="AP87" i="1"/>
  <c r="AP91" i="1"/>
  <c r="AP75" i="1"/>
  <c r="AP74" i="1"/>
  <c r="AP82" i="1"/>
  <c r="AP77" i="1"/>
  <c r="AI86" i="1"/>
  <c r="AI88" i="1"/>
  <c r="AI87" i="1"/>
  <c r="AI91" i="1"/>
  <c r="AI75" i="1"/>
  <c r="AI74" i="1"/>
  <c r="AI82" i="1"/>
  <c r="AI77" i="1"/>
  <c r="AB86" i="1"/>
  <c r="AB88" i="1"/>
  <c r="AB87" i="1"/>
  <c r="AB74" i="1"/>
  <c r="U86" i="1"/>
  <c r="U88" i="1"/>
  <c r="U87" i="1"/>
  <c r="U91" i="1"/>
  <c r="U75" i="1"/>
  <c r="U74" i="1"/>
  <c r="U82" i="1"/>
  <c r="U77" i="1"/>
  <c r="N86" i="1"/>
  <c r="N88" i="1"/>
  <c r="N87" i="1"/>
  <c r="N91" i="1" l="1"/>
  <c r="AB91" i="1"/>
  <c r="Z70" i="1"/>
  <c r="Z73" i="1"/>
  <c r="L70" i="1"/>
  <c r="L73" i="1"/>
  <c r="Z58" i="1" l="1"/>
  <c r="AB58" i="1" s="1"/>
  <c r="L58" i="1"/>
  <c r="N58" i="1" s="1"/>
  <c r="AW68" i="1"/>
  <c r="AW70" i="1"/>
  <c r="AW73" i="1"/>
  <c r="AW65" i="1"/>
  <c r="AW58" i="1"/>
  <c r="AP83" i="1"/>
  <c r="AP68" i="1"/>
  <c r="AP70" i="1"/>
  <c r="AP73" i="1"/>
  <c r="AP65" i="1"/>
  <c r="AP58" i="1"/>
  <c r="AI83" i="1"/>
  <c r="AI68" i="1"/>
  <c r="AI70" i="1"/>
  <c r="AI73" i="1"/>
  <c r="AI65" i="1"/>
  <c r="AI58" i="1"/>
  <c r="AB68" i="1"/>
  <c r="AB70" i="1"/>
  <c r="AB73" i="1"/>
  <c r="AB65" i="1"/>
  <c r="U83" i="1"/>
  <c r="U68" i="1"/>
  <c r="U70" i="1"/>
  <c r="U73" i="1"/>
  <c r="U65" i="1"/>
  <c r="U58" i="1"/>
  <c r="N83" i="1"/>
  <c r="N68" i="1"/>
  <c r="N70" i="1"/>
  <c r="N73" i="1"/>
  <c r="N65" i="1"/>
  <c r="Z57" i="1" l="1"/>
  <c r="L57" i="1"/>
  <c r="Z55" i="1"/>
  <c r="W55" i="1"/>
  <c r="I55" i="1"/>
  <c r="L55" i="1"/>
  <c r="Z66" i="1"/>
  <c r="L66" i="1"/>
  <c r="Z60" i="1" l="1"/>
  <c r="L60" i="1"/>
  <c r="N60" i="1" s="1"/>
  <c r="N57" i="1"/>
  <c r="N55" i="1"/>
  <c r="N66" i="1"/>
  <c r="Z39" i="1" l="1"/>
  <c r="W39" i="1"/>
  <c r="L39" i="1"/>
  <c r="I39" i="1"/>
  <c r="U57" i="1"/>
  <c r="U55" i="1"/>
  <c r="U66" i="1"/>
  <c r="U60" i="1"/>
  <c r="U39" i="1"/>
  <c r="N39" i="1" l="1"/>
  <c r="Z56" i="1"/>
  <c r="L56" i="1"/>
  <c r="Z47" i="1"/>
  <c r="Z46" i="1"/>
  <c r="L47" i="1"/>
  <c r="L46" i="1"/>
  <c r="L40" i="1"/>
  <c r="AB57" i="1"/>
  <c r="AB55" i="1"/>
  <c r="AB66" i="1"/>
  <c r="AB60" i="1"/>
  <c r="AB39" i="1"/>
  <c r="AI57" i="1"/>
  <c r="AI55" i="1"/>
  <c r="AI66" i="1"/>
  <c r="AI60" i="1"/>
  <c r="AI39" i="1"/>
  <c r="AW57" i="1"/>
  <c r="AW55" i="1"/>
  <c r="AW66" i="1"/>
  <c r="AW60" i="1"/>
  <c r="AW39" i="1"/>
  <c r="AP57" i="1"/>
  <c r="AP55" i="1"/>
  <c r="AP66" i="1"/>
  <c r="AP60" i="1"/>
  <c r="AP39" i="1"/>
  <c r="Z37" i="1" l="1"/>
  <c r="L37" i="1"/>
  <c r="Z34" i="1"/>
  <c r="L34" i="1"/>
  <c r="Z22" i="1" l="1"/>
  <c r="W22" i="1"/>
  <c r="I22" i="1"/>
  <c r="L22" i="1"/>
  <c r="Z27" i="1"/>
  <c r="L27" i="1"/>
  <c r="L32" i="1" l="1"/>
  <c r="Z21" i="1"/>
  <c r="L21" i="1"/>
  <c r="I18" i="1"/>
  <c r="Z17" i="1"/>
  <c r="W17" i="1"/>
  <c r="I17" i="1"/>
  <c r="L17" i="1"/>
  <c r="Z48" i="1"/>
  <c r="L48" i="1"/>
  <c r="AU31" i="1"/>
  <c r="AW31" i="1" s="1"/>
  <c r="N31" i="1"/>
  <c r="AW40" i="1"/>
  <c r="AW37" i="1"/>
  <c r="AW42" i="1"/>
  <c r="AW29" i="1"/>
  <c r="AW24" i="1"/>
  <c r="AW34" i="1"/>
  <c r="AW22" i="1"/>
  <c r="AW27" i="1"/>
  <c r="AP40" i="1"/>
  <c r="AP37" i="1"/>
  <c r="AP42" i="1"/>
  <c r="AP29" i="1"/>
  <c r="AP24" i="1"/>
  <c r="AP34" i="1"/>
  <c r="AP22" i="1"/>
  <c r="AP27" i="1"/>
  <c r="AP31" i="1"/>
  <c r="AI40" i="1"/>
  <c r="AI37" i="1"/>
  <c r="AI42" i="1"/>
  <c r="AI29" i="1"/>
  <c r="AI24" i="1"/>
  <c r="AI34" i="1"/>
  <c r="AI22" i="1"/>
  <c r="AI27" i="1"/>
  <c r="AI31" i="1"/>
  <c r="AB40" i="1"/>
  <c r="AB37" i="1"/>
  <c r="AB42" i="1"/>
  <c r="AB29" i="1"/>
  <c r="AB24" i="1"/>
  <c r="AB34" i="1"/>
  <c r="AB22" i="1"/>
  <c r="AB27" i="1"/>
  <c r="AB31" i="1"/>
  <c r="U40" i="1"/>
  <c r="U37" i="1"/>
  <c r="U42" i="1"/>
  <c r="U29" i="1"/>
  <c r="U24" i="1"/>
  <c r="U34" i="1"/>
  <c r="U22" i="1"/>
  <c r="U27" i="1"/>
  <c r="U31" i="1"/>
  <c r="N40" i="1"/>
  <c r="N37" i="1"/>
  <c r="N42" i="1"/>
  <c r="N29" i="1"/>
  <c r="N24" i="1"/>
  <c r="N34" i="1"/>
  <c r="N22" i="1"/>
  <c r="N27" i="1"/>
  <c r="AW56" i="1" l="1"/>
  <c r="AW43" i="1"/>
  <c r="AW47" i="1"/>
  <c r="AW46" i="1"/>
  <c r="AW32" i="1"/>
  <c r="AW19" i="1"/>
  <c r="AW26" i="1"/>
  <c r="AW21" i="1"/>
  <c r="AW14" i="1"/>
  <c r="AP56" i="1"/>
  <c r="AP43" i="1"/>
  <c r="AP47" i="1"/>
  <c r="AP46" i="1"/>
  <c r="AP32" i="1"/>
  <c r="AP19" i="1"/>
  <c r="AP26" i="1"/>
  <c r="AP21" i="1"/>
  <c r="AP14" i="1"/>
  <c r="AI56" i="1"/>
  <c r="AI43" i="1"/>
  <c r="AI47" i="1"/>
  <c r="AI46" i="1"/>
  <c r="AI32" i="1"/>
  <c r="AI19" i="1"/>
  <c r="AI26" i="1"/>
  <c r="AI21" i="1"/>
  <c r="AI14" i="1"/>
  <c r="AB56" i="1"/>
  <c r="AB43" i="1"/>
  <c r="AB47" i="1"/>
  <c r="AB46" i="1"/>
  <c r="AB32" i="1"/>
  <c r="AB19" i="1"/>
  <c r="AB26" i="1"/>
  <c r="AB21" i="1"/>
  <c r="AB14" i="1"/>
  <c r="U56" i="1"/>
  <c r="U43" i="1"/>
  <c r="U47" i="1"/>
  <c r="U46" i="1"/>
  <c r="U32" i="1"/>
  <c r="U19" i="1"/>
  <c r="U26" i="1"/>
  <c r="U21" i="1"/>
  <c r="U14" i="1"/>
  <c r="N56" i="1"/>
  <c r="N43" i="1"/>
  <c r="N47" i="1"/>
  <c r="N46" i="1"/>
  <c r="N32" i="1"/>
  <c r="N19" i="1"/>
  <c r="N26" i="1"/>
  <c r="N21" i="1"/>
  <c r="N14" i="1"/>
  <c r="N115" i="1" l="1"/>
  <c r="N18" i="1" l="1"/>
  <c r="N13" i="1"/>
  <c r="N17" i="1"/>
  <c r="N48" i="1"/>
  <c r="N11" i="1"/>
  <c r="N36" i="1"/>
  <c r="U18" i="1"/>
  <c r="U13" i="1"/>
  <c r="U115" i="1"/>
  <c r="U17" i="1"/>
  <c r="U48" i="1"/>
  <c r="U11" i="1"/>
  <c r="U36" i="1"/>
  <c r="AB18" i="1"/>
  <c r="AB13" i="1"/>
  <c r="AB115" i="1"/>
  <c r="AB17" i="1"/>
  <c r="AB48" i="1"/>
  <c r="AB11" i="1"/>
  <c r="AB36" i="1"/>
  <c r="AB9" i="1"/>
  <c r="U9" i="1"/>
  <c r="N9" i="1"/>
  <c r="AI18" i="1" l="1"/>
  <c r="AI13" i="1"/>
  <c r="AI115" i="1"/>
  <c r="AI17" i="1"/>
  <c r="AI48" i="1"/>
  <c r="AI11" i="1"/>
  <c r="AI36" i="1"/>
  <c r="AI9" i="1"/>
  <c r="AW18" i="1"/>
  <c r="AW13" i="1"/>
  <c r="AW115" i="1"/>
  <c r="AW17" i="1"/>
  <c r="AW48" i="1"/>
  <c r="AW11" i="1"/>
  <c r="AW36" i="1"/>
  <c r="AW9" i="1"/>
  <c r="AW10" i="1"/>
  <c r="AP18" i="1"/>
  <c r="AP13" i="1"/>
  <c r="AP115" i="1"/>
  <c r="AP17" i="1"/>
  <c r="AP48" i="1"/>
  <c r="AP11" i="1"/>
  <c r="AP36" i="1"/>
  <c r="AP9" i="1"/>
  <c r="AW20" i="1"/>
  <c r="AW5" i="1"/>
  <c r="AI10" i="1"/>
  <c r="AI20" i="1"/>
  <c r="AI5" i="1"/>
  <c r="AB5" i="1"/>
  <c r="AW33" i="1"/>
  <c r="AI33" i="1"/>
  <c r="AB10" i="1"/>
  <c r="AB20" i="1"/>
  <c r="AB33" i="1"/>
  <c r="AW4" i="1" l="1"/>
  <c r="AI4" i="1"/>
  <c r="AB4" i="1"/>
  <c r="AW6" i="1" l="1"/>
  <c r="AP10" i="1"/>
  <c r="AP20" i="1"/>
  <c r="AP5" i="1"/>
  <c r="AP33" i="1"/>
  <c r="AP4" i="1"/>
  <c r="AP6" i="1"/>
  <c r="AI6" i="1"/>
  <c r="AB6" i="1"/>
  <c r="U10" i="1"/>
  <c r="U20" i="1"/>
  <c r="U5" i="1"/>
  <c r="U33" i="1"/>
  <c r="U4" i="1"/>
  <c r="U6" i="1"/>
  <c r="U52" i="1"/>
  <c r="N10" i="1"/>
  <c r="N20" i="1"/>
  <c r="N5" i="1"/>
  <c r="N33" i="1"/>
  <c r="N4" i="1"/>
  <c r="N6" i="1" l="1"/>
  <c r="AP52" i="1"/>
  <c r="AP15" i="1"/>
  <c r="AB52" i="1"/>
  <c r="AB15" i="1"/>
  <c r="U15" i="1"/>
  <c r="AR52" i="1"/>
  <c r="AW52" i="1" s="1"/>
  <c r="AW15" i="1"/>
  <c r="AI52" i="1"/>
  <c r="AI15" i="1"/>
  <c r="N52" i="1"/>
  <c r="N15" i="1"/>
  <c r="AI105" i="1" l="1"/>
  <c r="L100" i="1"/>
  <c r="AW105" i="1" l="1"/>
  <c r="AW112" i="1"/>
  <c r="AW119" i="1"/>
  <c r="AW118" i="1"/>
  <c r="AW99" i="1"/>
  <c r="AW106" i="1"/>
  <c r="AW117" i="1"/>
  <c r="AW100" i="1"/>
  <c r="AP105" i="1"/>
  <c r="AP112" i="1"/>
  <c r="AP119" i="1"/>
  <c r="AP118" i="1"/>
  <c r="AP99" i="1"/>
  <c r="AP106" i="1"/>
  <c r="AP117" i="1"/>
  <c r="AP100" i="1"/>
  <c r="AB105" i="1"/>
  <c r="U105" i="1"/>
  <c r="N105" i="1"/>
  <c r="AI112" i="1"/>
  <c r="AI119" i="1"/>
  <c r="AI118" i="1"/>
  <c r="AI99" i="1"/>
  <c r="AI106" i="1"/>
  <c r="AI117" i="1"/>
  <c r="AI100" i="1"/>
  <c r="AB112" i="1"/>
  <c r="AB119" i="1"/>
  <c r="AB118" i="1"/>
  <c r="AB99" i="1"/>
  <c r="AB106" i="1"/>
  <c r="AB117" i="1"/>
  <c r="AB100" i="1"/>
  <c r="U112" i="1"/>
  <c r="U119" i="1"/>
  <c r="U118" i="1"/>
  <c r="U99" i="1"/>
  <c r="U106" i="1"/>
  <c r="U117" i="1"/>
  <c r="U100" i="1"/>
  <c r="N112" i="1"/>
  <c r="N119" i="1"/>
  <c r="N118" i="1"/>
  <c r="N99" i="1"/>
  <c r="N106" i="1"/>
  <c r="N117" i="1"/>
  <c r="N100" i="1"/>
  <c r="U130" i="1" l="1"/>
  <c r="AP130" i="1"/>
  <c r="AW130" i="1"/>
  <c r="N130" i="1"/>
  <c r="AI130" i="1"/>
  <c r="AB130" i="1"/>
</calcChain>
</file>

<file path=xl/comments1.xml><?xml version="1.0" encoding="utf-8"?>
<comments xmlns="http://schemas.openxmlformats.org/spreadsheetml/2006/main">
  <authors>
    <author>ewakley</author>
    <author>Emily Wakley</author>
  </authors>
  <commentList>
    <comment ref="AY6" authorId="0" shapeId="0">
      <text>
        <r>
          <rPr>
            <b/>
            <sz val="9"/>
            <color indexed="81"/>
            <rFont val="Tahoma"/>
            <family val="2"/>
          </rPr>
          <t>ewakley:</t>
        </r>
        <r>
          <rPr>
            <sz val="9"/>
            <color indexed="81"/>
            <rFont val="Tahoma"/>
            <family val="2"/>
          </rPr>
          <t xml:space="preserve">
9 years remaining on permit</t>
        </r>
      </text>
    </comment>
    <comment ref="AY11" authorId="0" shapeId="0">
      <text>
        <r>
          <rPr>
            <b/>
            <sz val="9"/>
            <color indexed="81"/>
            <rFont val="Tahoma"/>
            <family val="2"/>
          </rPr>
          <t>ewakley:</t>
        </r>
        <r>
          <rPr>
            <sz val="9"/>
            <color indexed="81"/>
            <rFont val="Tahoma"/>
            <family val="2"/>
          </rPr>
          <t xml:space="preserve">
remaining years</t>
        </r>
      </text>
    </comment>
    <comment ref="AY12" authorId="0" shapeId="0">
      <text>
        <r>
          <rPr>
            <b/>
            <sz val="9"/>
            <color indexed="81"/>
            <rFont val="Tahoma"/>
            <family val="2"/>
          </rPr>
          <t>ewakley:</t>
        </r>
        <r>
          <rPr>
            <sz val="9"/>
            <color indexed="81"/>
            <rFont val="Tahoma"/>
            <family val="2"/>
          </rPr>
          <t xml:space="preserve">
7 remaining years</t>
        </r>
      </text>
    </comment>
    <comment ref="AY13" authorId="0" shapeId="0">
      <text>
        <r>
          <rPr>
            <b/>
            <sz val="9"/>
            <color indexed="81"/>
            <rFont val="Tahoma"/>
            <family val="2"/>
          </rPr>
          <t>ewakley:</t>
        </r>
        <r>
          <rPr>
            <sz val="9"/>
            <color indexed="81"/>
            <rFont val="Tahoma"/>
            <family val="2"/>
          </rPr>
          <t xml:space="preserve">
remaining years</t>
        </r>
      </text>
    </comment>
    <comment ref="G15" authorId="0" shapeId="0">
      <text>
        <r>
          <rPr>
            <b/>
            <sz val="9"/>
            <color indexed="81"/>
            <rFont val="Tahoma"/>
            <family val="2"/>
          </rPr>
          <t>ewakley:</t>
        </r>
        <r>
          <rPr>
            <sz val="9"/>
            <color indexed="81"/>
            <rFont val="Tahoma"/>
            <family val="2"/>
          </rPr>
          <t xml:space="preserve">
Permit expiration date.</t>
        </r>
      </text>
    </comment>
    <comment ref="AY19" authorId="0" shapeId="0">
      <text>
        <r>
          <rPr>
            <b/>
            <sz val="9"/>
            <color indexed="81"/>
            <rFont val="Tahoma"/>
            <family val="2"/>
          </rPr>
          <t>ewakley:</t>
        </r>
        <r>
          <rPr>
            <sz val="9"/>
            <color indexed="81"/>
            <rFont val="Tahoma"/>
            <family val="2"/>
          </rPr>
          <t xml:space="preserve">
9 years remaining on permit.</t>
        </r>
      </text>
    </comment>
    <comment ref="AY24" authorId="0" shapeId="0">
      <text>
        <r>
          <rPr>
            <b/>
            <sz val="9"/>
            <color indexed="81"/>
            <rFont val="Tahoma"/>
            <family val="2"/>
          </rPr>
          <t>ewakley:</t>
        </r>
        <r>
          <rPr>
            <sz val="9"/>
            <color indexed="81"/>
            <rFont val="Tahoma"/>
            <family val="2"/>
          </rPr>
          <t xml:space="preserve">
19 years remaining</t>
        </r>
      </text>
    </comment>
    <comment ref="AY27" authorId="0" shapeId="0">
      <text>
        <r>
          <rPr>
            <b/>
            <sz val="9"/>
            <color indexed="81"/>
            <rFont val="Tahoma"/>
            <family val="2"/>
          </rPr>
          <t>ewakley:</t>
        </r>
        <r>
          <rPr>
            <sz val="9"/>
            <color indexed="81"/>
            <rFont val="Tahoma"/>
            <family val="2"/>
          </rPr>
          <t xml:space="preserve">
18 years remaining on permit</t>
        </r>
      </text>
    </comment>
    <comment ref="AY29" authorId="0" shapeId="0">
      <text>
        <r>
          <rPr>
            <b/>
            <sz val="9"/>
            <color indexed="81"/>
            <rFont val="Tahoma"/>
            <family val="2"/>
          </rPr>
          <t>ewakley:</t>
        </r>
        <r>
          <rPr>
            <sz val="9"/>
            <color indexed="81"/>
            <rFont val="Tahoma"/>
            <family val="2"/>
          </rPr>
          <t xml:space="preserve">
19 years left on permit</t>
        </r>
      </text>
    </comment>
    <comment ref="AY34" authorId="0" shapeId="0">
      <text>
        <r>
          <rPr>
            <b/>
            <sz val="9"/>
            <color indexed="81"/>
            <rFont val="Tahoma"/>
            <family val="2"/>
          </rPr>
          <t>ewakley:</t>
        </r>
        <r>
          <rPr>
            <sz val="9"/>
            <color indexed="81"/>
            <rFont val="Tahoma"/>
            <family val="2"/>
          </rPr>
          <t xml:space="preserve">
14 years remaining on permit</t>
        </r>
      </text>
    </comment>
    <comment ref="AY35" authorId="0" shapeId="0">
      <text>
        <r>
          <rPr>
            <b/>
            <sz val="9"/>
            <color indexed="81"/>
            <rFont val="Tahoma"/>
            <family val="2"/>
          </rPr>
          <t>ewakley:</t>
        </r>
        <r>
          <rPr>
            <sz val="9"/>
            <color indexed="81"/>
            <rFont val="Tahoma"/>
            <family val="2"/>
          </rPr>
          <t xml:space="preserve">
10 year remaining on permit</t>
        </r>
      </text>
    </comment>
    <comment ref="AY38" authorId="0" shapeId="0">
      <text>
        <r>
          <rPr>
            <b/>
            <sz val="9"/>
            <color indexed="81"/>
            <rFont val="Tahoma"/>
            <family val="2"/>
          </rPr>
          <t>ewakley:</t>
        </r>
        <r>
          <rPr>
            <sz val="9"/>
            <color indexed="81"/>
            <rFont val="Tahoma"/>
            <family val="2"/>
          </rPr>
          <t xml:space="preserve">
6 years remaining on permit</t>
        </r>
      </text>
    </comment>
    <comment ref="AY41" authorId="1" shapeId="0">
      <text>
        <r>
          <rPr>
            <sz val="11"/>
            <color theme="1"/>
            <rFont val="Calibri"/>
            <family val="2"/>
            <scheme val="minor"/>
          </rPr>
          <t>9 years remaining on permit</t>
        </r>
      </text>
    </comment>
    <comment ref="AY44" authorId="0" shapeId="0">
      <text>
        <r>
          <rPr>
            <b/>
            <sz val="9"/>
            <color indexed="81"/>
            <rFont val="Tahoma"/>
            <family val="2"/>
          </rPr>
          <t>ewakley:</t>
        </r>
        <r>
          <rPr>
            <sz val="9"/>
            <color indexed="81"/>
            <rFont val="Tahoma"/>
            <family val="2"/>
          </rPr>
          <t xml:space="preserve">
15 years remaining on permit</t>
        </r>
      </text>
    </comment>
    <comment ref="AY51" authorId="1" shapeId="0">
      <text>
        <r>
          <rPr>
            <sz val="11"/>
            <color theme="1"/>
            <rFont val="Calibri"/>
            <family val="2"/>
            <scheme val="minor"/>
          </rPr>
          <t>6 years remaining on permit</t>
        </r>
      </text>
    </comment>
    <comment ref="AY52" authorId="0" shapeId="0">
      <text>
        <r>
          <rPr>
            <b/>
            <sz val="9"/>
            <color indexed="81"/>
            <rFont val="Tahoma"/>
            <family val="2"/>
          </rPr>
          <t>ewakley:</t>
        </r>
        <r>
          <rPr>
            <sz val="9"/>
            <color indexed="81"/>
            <rFont val="Tahoma"/>
            <family val="2"/>
          </rPr>
          <t xml:space="preserve">
14 years remaining on permit</t>
        </r>
      </text>
    </comment>
    <comment ref="AY59" authorId="0" shapeId="0">
      <text>
        <r>
          <rPr>
            <b/>
            <sz val="9"/>
            <color indexed="81"/>
            <rFont val="Tahoma"/>
            <family val="2"/>
          </rPr>
          <t>ewakley:</t>
        </r>
        <r>
          <rPr>
            <sz val="9"/>
            <color indexed="81"/>
            <rFont val="Tahoma"/>
            <family val="2"/>
          </rPr>
          <t xml:space="preserve">
14 years remaining on permit</t>
        </r>
      </text>
    </comment>
    <comment ref="AY60" authorId="0" shapeId="0">
      <text>
        <r>
          <rPr>
            <b/>
            <sz val="9"/>
            <color indexed="81"/>
            <rFont val="Tahoma"/>
            <family val="2"/>
          </rPr>
          <t>ewakley:</t>
        </r>
        <r>
          <rPr>
            <sz val="9"/>
            <color indexed="81"/>
            <rFont val="Tahoma"/>
            <family val="2"/>
          </rPr>
          <t xml:space="preserve">
6 years remaining on permit</t>
        </r>
      </text>
    </comment>
    <comment ref="AY63" authorId="0" shapeId="0">
      <text>
        <r>
          <rPr>
            <b/>
            <sz val="9"/>
            <color indexed="81"/>
            <rFont val="Tahoma"/>
            <family val="2"/>
          </rPr>
          <t>ewakley:</t>
        </r>
        <r>
          <rPr>
            <sz val="9"/>
            <color indexed="81"/>
            <rFont val="Tahoma"/>
            <family val="2"/>
          </rPr>
          <t xml:space="preserve">
13 years left for permit duration</t>
        </r>
      </text>
    </comment>
    <comment ref="AY64" authorId="0" shapeId="0">
      <text>
        <r>
          <rPr>
            <b/>
            <sz val="9"/>
            <color indexed="81"/>
            <rFont val="Tahoma"/>
            <family val="2"/>
          </rPr>
          <t>ewakley:</t>
        </r>
        <r>
          <rPr>
            <sz val="9"/>
            <color indexed="81"/>
            <rFont val="Tahoma"/>
            <family val="2"/>
          </rPr>
          <t xml:space="preserve">
9 years remaining on permit duration</t>
        </r>
      </text>
    </comment>
    <comment ref="AY74" authorId="0" shapeId="0">
      <text>
        <r>
          <rPr>
            <b/>
            <sz val="9"/>
            <color indexed="81"/>
            <rFont val="Tahoma"/>
            <family val="2"/>
          </rPr>
          <t>ewakley:</t>
        </r>
        <r>
          <rPr>
            <sz val="9"/>
            <color indexed="81"/>
            <rFont val="Tahoma"/>
            <family val="2"/>
          </rPr>
          <t xml:space="preserve">
14 years remaining on permit</t>
        </r>
      </text>
    </comment>
    <comment ref="AY80" authorId="0" shapeId="0">
      <text>
        <r>
          <rPr>
            <b/>
            <sz val="9"/>
            <color indexed="81"/>
            <rFont val="Tahoma"/>
            <family val="2"/>
          </rPr>
          <t>ewakley:</t>
        </r>
        <r>
          <rPr>
            <sz val="9"/>
            <color indexed="81"/>
            <rFont val="Tahoma"/>
            <family val="2"/>
          </rPr>
          <t xml:space="preserve">
15 years remaining on permit</t>
        </r>
      </text>
    </comment>
    <comment ref="AY81" authorId="1" shapeId="0">
      <text>
        <r>
          <rPr>
            <sz val="11"/>
            <color theme="1"/>
            <rFont val="Calibri"/>
            <family val="2"/>
            <scheme val="minor"/>
          </rPr>
          <t>17 years remaining on permit</t>
        </r>
      </text>
    </comment>
    <comment ref="AY82" authorId="0" shapeId="0">
      <text>
        <r>
          <rPr>
            <b/>
            <sz val="9"/>
            <color indexed="81"/>
            <rFont val="Tahoma"/>
            <family val="2"/>
          </rPr>
          <t>ewakley:</t>
        </r>
        <r>
          <rPr>
            <sz val="9"/>
            <color indexed="81"/>
            <rFont val="Tahoma"/>
            <family val="2"/>
          </rPr>
          <t xml:space="preserve">
14 years remaining on permit duration</t>
        </r>
      </text>
    </comment>
    <comment ref="AY83" authorId="0" shapeId="0">
      <text>
        <r>
          <rPr>
            <b/>
            <sz val="9"/>
            <color indexed="81"/>
            <rFont val="Tahoma"/>
            <family val="2"/>
          </rPr>
          <t>ewakley:</t>
        </r>
        <r>
          <rPr>
            <sz val="9"/>
            <color indexed="81"/>
            <rFont val="Tahoma"/>
            <family val="2"/>
          </rPr>
          <t xml:space="preserve">
5 years left on permit</t>
        </r>
      </text>
    </comment>
    <comment ref="AY84" authorId="1" shapeId="0">
      <text>
        <r>
          <rPr>
            <sz val="11"/>
            <color theme="1"/>
            <rFont val="Calibri"/>
            <family val="2"/>
            <scheme val="minor"/>
          </rPr>
          <t>8 years remaining for permit duration</t>
        </r>
      </text>
    </comment>
    <comment ref="AY90" authorId="0" shapeId="0">
      <text>
        <r>
          <rPr>
            <b/>
            <sz val="9"/>
            <color indexed="81"/>
            <rFont val="Tahoma"/>
            <family val="2"/>
          </rPr>
          <t>ewakley:</t>
        </r>
        <r>
          <rPr>
            <sz val="9"/>
            <color indexed="81"/>
            <rFont val="Tahoma"/>
            <family val="2"/>
          </rPr>
          <t xml:space="preserve">
13 years remaining on permit</t>
        </r>
      </text>
    </comment>
    <comment ref="AY91" authorId="0" shapeId="0">
      <text>
        <r>
          <rPr>
            <b/>
            <sz val="9"/>
            <color indexed="81"/>
            <rFont val="Tahoma"/>
            <family val="2"/>
          </rPr>
          <t>ewakley:</t>
        </r>
        <r>
          <rPr>
            <sz val="9"/>
            <color indexed="81"/>
            <rFont val="Tahoma"/>
            <family val="2"/>
          </rPr>
          <t xml:space="preserve">
18 years remaining on permit duration
</t>
        </r>
      </text>
    </comment>
    <comment ref="AY97" authorId="0" shapeId="0">
      <text>
        <r>
          <rPr>
            <b/>
            <sz val="9"/>
            <color indexed="81"/>
            <rFont val="Tahoma"/>
            <family val="2"/>
          </rPr>
          <t>ewakley:</t>
        </r>
        <r>
          <rPr>
            <sz val="9"/>
            <color indexed="81"/>
            <rFont val="Tahoma"/>
            <family val="2"/>
          </rPr>
          <t xml:space="preserve">
6 years remaining on permit duration</t>
        </r>
      </text>
    </comment>
    <comment ref="AY102" authorId="0" shapeId="0">
      <text>
        <r>
          <rPr>
            <b/>
            <sz val="9"/>
            <color indexed="81"/>
            <rFont val="Tahoma"/>
            <charset val="1"/>
          </rPr>
          <t>ewakley:</t>
        </r>
        <r>
          <rPr>
            <sz val="9"/>
            <color indexed="81"/>
            <rFont val="Tahoma"/>
            <charset val="1"/>
          </rPr>
          <t xml:space="preserve">
years remaining on permit</t>
        </r>
      </text>
    </comment>
  </commentList>
</comments>
</file>

<file path=xl/sharedStrings.xml><?xml version="1.0" encoding="utf-8"?>
<sst xmlns="http://schemas.openxmlformats.org/spreadsheetml/2006/main" count="4361" uniqueCount="1418">
  <si>
    <t>District</t>
  </si>
  <si>
    <t>App No</t>
  </si>
  <si>
    <t>Project Name</t>
  </si>
  <si>
    <t>Land Use</t>
  </si>
  <si>
    <t>Previous Annual Groundwater Allocation MGY</t>
  </si>
  <si>
    <t>Requested or Permitted Annual Groundwater Allocation MGY</t>
  </si>
  <si>
    <t>Net Groundwater Change Over Existing Permit
MGD</t>
  </si>
  <si>
    <t>Previous Annual Surface Water Allocation MGY</t>
  </si>
  <si>
    <t>Requested or Permitted Annual Surface Water Allocation MGY</t>
  </si>
  <si>
    <t>Net Surface Water Change Over Existing Permit
MGD</t>
  </si>
  <si>
    <t>Requested Permit Duration (years)</t>
  </si>
  <si>
    <t>Staff Recommended Permit Duration (years)</t>
  </si>
  <si>
    <t>Source(s) of Water</t>
  </si>
  <si>
    <t>Notes</t>
  </si>
  <si>
    <t>App Status</t>
  </si>
  <si>
    <t>UFA</t>
  </si>
  <si>
    <t>District Decision Date (Issuance Date) (If no decision yet enter "pending")</t>
  </si>
  <si>
    <t>Totals</t>
  </si>
  <si>
    <t>Previous Annual Groundwater (Upper Floridan Aquifer) Allocation MGY</t>
  </si>
  <si>
    <t>Requested or Permitted Annual Groundwater (Upper Floridan Aquifer) Allocation MGY</t>
  </si>
  <si>
    <t>Net Groundwater (Upper Floridan Aquifer)  Change Over Existing Permit
MGD</t>
  </si>
  <si>
    <t>Previous Annual Groundwater (Lower Floridan Aquifer) Allocation MGY</t>
  </si>
  <si>
    <t>Requested or Permitted Annual Groundwater (Lower Floridan Aquifer) Allocation MGY</t>
  </si>
  <si>
    <t>Net Groundwater (Lower Floridan Aquifer)  Change Over Existing Permit
MGD</t>
  </si>
  <si>
    <t>Previous Annual Groundwater (Surficial Aquifer) Allocation MGY</t>
  </si>
  <si>
    <t>Requested or Permitted Annual Groundwater (Surficial Aquifer) Allocation MGY</t>
  </si>
  <si>
    <t>Net Groundwater (Surficial Aquifer)  Change Over Existing Permit
MGD</t>
  </si>
  <si>
    <t>Previous Annual Groundwater (Intermediate Confining Unit) Allocation MGY</t>
  </si>
  <si>
    <t>Requested or Permitted Annual Groundwater (Intermediate Confining Unit) Allocation MGY</t>
  </si>
  <si>
    <t>Net Groundwater (Intermediate Confining Unit)  Change Over Existing Permit
MGD</t>
  </si>
  <si>
    <t>Permit No</t>
  </si>
  <si>
    <t>LAKE TOHO RESTORATION/AWS PROJECT</t>
  </si>
  <si>
    <t>MARIOTTS CYPRESS HARBOUR</t>
  </si>
  <si>
    <t>J STORY/PRESCOTT GROVES</t>
  </si>
  <si>
    <t>NELSON GROVE</t>
  </si>
  <si>
    <t>REMINGTON GOLF CLUB</t>
  </si>
  <si>
    <t>LAKE NONA CENTRAL</t>
  </si>
  <si>
    <t>TURNAROUND BAY</t>
  </si>
  <si>
    <t>LEDO GROVE</t>
  </si>
  <si>
    <t>SOUTHPORT RANCH</t>
  </si>
  <si>
    <t>O&amp;S WATER COMPANY</t>
  </si>
  <si>
    <t>HYATT WELL</t>
  </si>
  <si>
    <t>LAKE KISSIMMEE MOBILE HOME PARK</t>
  </si>
  <si>
    <t>140318-17</t>
  </si>
  <si>
    <t>150915-15</t>
  </si>
  <si>
    <t>151015-16</t>
  </si>
  <si>
    <t>151015-17</t>
  </si>
  <si>
    <t>151027-15</t>
  </si>
  <si>
    <t>151113-8</t>
  </si>
  <si>
    <t>151222-16</t>
  </si>
  <si>
    <t>160114-12</t>
  </si>
  <si>
    <t>160122-13</t>
  </si>
  <si>
    <t>160205-17</t>
  </si>
  <si>
    <t>160303-7</t>
  </si>
  <si>
    <t>160226-14</t>
  </si>
  <si>
    <t>SFWMD</t>
  </si>
  <si>
    <t>PWS</t>
  </si>
  <si>
    <t>GOL</t>
  </si>
  <si>
    <t>LAN</t>
  </si>
  <si>
    <t>AGR</t>
  </si>
  <si>
    <t>IND</t>
  </si>
  <si>
    <t>48-00562-W</t>
  </si>
  <si>
    <t>49-00447-W</t>
  </si>
  <si>
    <t>49-02047-W</t>
  </si>
  <si>
    <t>49-00780-W</t>
  </si>
  <si>
    <t>48-02021-W</t>
  </si>
  <si>
    <t>49-02478-W</t>
  </si>
  <si>
    <t>48-02056-W</t>
  </si>
  <si>
    <t>49-01665-W</t>
  </si>
  <si>
    <t>49-01207-W</t>
  </si>
  <si>
    <t>49-01663-W</t>
  </si>
  <si>
    <t>53-00152-W</t>
  </si>
  <si>
    <t>NO RESPONSE</t>
  </si>
  <si>
    <t>ISSUED</t>
  </si>
  <si>
    <t>COMPLETE</t>
  </si>
  <si>
    <t>160413-4</t>
  </si>
  <si>
    <t>49-00043-W</t>
  </si>
  <si>
    <t>THOMPSON CITRUS GROVE</t>
  </si>
  <si>
    <t>ind. supply for cooling tower</t>
  </si>
  <si>
    <t>PENDING</t>
  </si>
  <si>
    <t>110712-7</t>
  </si>
  <si>
    <t>53-00297-W</t>
  </si>
  <si>
    <t>090501-7</t>
  </si>
  <si>
    <t>TURKEY HAMMOCK</t>
  </si>
  <si>
    <t>POLK CO. SE WELLFIELD</t>
  </si>
  <si>
    <t>NUR</t>
  </si>
  <si>
    <t>LFA</t>
  </si>
  <si>
    <t>SW,UFA</t>
  </si>
  <si>
    <t>Lake Kissimmee</t>
  </si>
  <si>
    <t>130924-6</t>
  </si>
  <si>
    <t>4H-RANCH</t>
  </si>
  <si>
    <t>131219-9</t>
  </si>
  <si>
    <t>LIV</t>
  </si>
  <si>
    <t>140107-5</t>
  </si>
  <si>
    <t>140109-6</t>
  </si>
  <si>
    <t>140110-12</t>
  </si>
  <si>
    <t>140110-8</t>
  </si>
  <si>
    <t>THE GOLDEN BEAR GOLF CLUB</t>
  </si>
  <si>
    <t>BENT OAK IND. PARK PH.1,LOTS 3-5</t>
  </si>
  <si>
    <t>LAKE NONA GOLF COURSE &amp; ESTATES</t>
  </si>
  <si>
    <t>WATER CONSERV II DIST. FAC.</t>
  </si>
  <si>
    <t>SAS</t>
  </si>
  <si>
    <t>140205-14</t>
  </si>
  <si>
    <t>140210-6</t>
  </si>
  <si>
    <t>140217-2</t>
  </si>
  <si>
    <t>OASIS AT CHAMPIONSGATE</t>
  </si>
  <si>
    <t>BATTAGLIA FRUIT COMPANY</t>
  </si>
  <si>
    <t>140303-8</t>
  </si>
  <si>
    <t>140307-4</t>
  </si>
  <si>
    <t>FLORIDIAN RV RESORT</t>
  </si>
  <si>
    <t>GRAND CYPRESS RESORT</t>
  </si>
  <si>
    <t>CIRCLE K STORES, INC</t>
  </si>
  <si>
    <t>140324-5</t>
  </si>
  <si>
    <t>140411-4</t>
  </si>
  <si>
    <t>140417-3</t>
  </si>
  <si>
    <t>NOVA GROVE</t>
  </si>
  <si>
    <t>CEMEX REGENCY PARK</t>
  </si>
  <si>
    <t>XL RANCH</t>
  </si>
  <si>
    <t>4H-RANCH, LIVESTOCK</t>
  </si>
  <si>
    <t>140502-9</t>
  </si>
  <si>
    <t>140428-13</t>
  </si>
  <si>
    <t>140502-4</t>
  </si>
  <si>
    <t>140512-4</t>
  </si>
  <si>
    <t>BELLA WELL</t>
  </si>
  <si>
    <t>DH KEEN INC</t>
  </si>
  <si>
    <t>PICKERING FARM</t>
  </si>
  <si>
    <t>140522-3</t>
  </si>
  <si>
    <t>KISSIMMEE GOLF CLUB</t>
  </si>
  <si>
    <t>140528-14</t>
  </si>
  <si>
    <t>NO. 4 GROVE</t>
  </si>
  <si>
    <t>49-00077-W</t>
  </si>
  <si>
    <t>49-02330-W</t>
  </si>
  <si>
    <t>49-02348-W</t>
  </si>
  <si>
    <t>48-00983-W</t>
  </si>
  <si>
    <t>48-02309-W</t>
  </si>
  <si>
    <t>48-00192-W</t>
  </si>
  <si>
    <t>48-00261-W</t>
  </si>
  <si>
    <t>49-02362-W</t>
  </si>
  <si>
    <t>49-00034-W</t>
  </si>
  <si>
    <t>49-00728-W</t>
  </si>
  <si>
    <t>exp. Date = lease duration(11/1/21)</t>
  </si>
  <si>
    <t>49-01945-W</t>
  </si>
  <si>
    <t>48-00121-W</t>
  </si>
  <si>
    <t>49-0237-W</t>
  </si>
  <si>
    <t>48-01474-W</t>
  </si>
  <si>
    <t>53-00248-W</t>
  </si>
  <si>
    <t>48-02335-W</t>
  </si>
  <si>
    <t>49-02383-W</t>
  </si>
  <si>
    <t>53-00182-W</t>
  </si>
  <si>
    <t>49-02377-W</t>
  </si>
  <si>
    <t>49-01225-W</t>
  </si>
  <si>
    <t>140529-8</t>
  </si>
  <si>
    <t>140603-14</t>
  </si>
  <si>
    <t>ROAD AND BRIDGE BUILDING PROJECT</t>
  </si>
  <si>
    <t>FACILITY IMPROVEMENTS</t>
  </si>
  <si>
    <t>SW</t>
  </si>
  <si>
    <t>Pearl Lake</t>
  </si>
  <si>
    <t>49-02384-W</t>
  </si>
  <si>
    <t>48-00814-W</t>
  </si>
  <si>
    <t>140616-7</t>
  </si>
  <si>
    <t>140623-7</t>
  </si>
  <si>
    <t>140624-3</t>
  </si>
  <si>
    <t>140630-7</t>
  </si>
  <si>
    <t>140703-15</t>
  </si>
  <si>
    <t>INDIAN LAKE ESTATES GOLF COURSE</t>
  </si>
  <si>
    <t>FISH CAMP, LLC</t>
  </si>
  <si>
    <t>SPRING LAKE VILLAGE</t>
  </si>
  <si>
    <t>GRANNY'S GARDEN II</t>
  </si>
  <si>
    <t>LAKE HATCHINEHA RANCH, LLC</t>
  </si>
  <si>
    <t>53-00151-W</t>
  </si>
  <si>
    <t>49-01995-W</t>
  </si>
  <si>
    <t>49-02386-W</t>
  </si>
  <si>
    <t>49-01977-W</t>
  </si>
  <si>
    <t>140714-21</t>
  </si>
  <si>
    <t>140716-14</t>
  </si>
  <si>
    <t>140813-6</t>
  </si>
  <si>
    <t>140818-15</t>
  </si>
  <si>
    <t>140822-9</t>
  </si>
  <si>
    <t>SOLIVITA</t>
  </si>
  <si>
    <t>WHALEY LORENZ GROVE</t>
  </si>
  <si>
    <t xml:space="preserve">ORLANDO LAKE WHIPP. KOA </t>
  </si>
  <si>
    <t>PATY GROVES</t>
  </si>
  <si>
    <t>ISLEWORTH GOLF AND CC</t>
  </si>
  <si>
    <t>30-day backup supply</t>
  </si>
  <si>
    <t>48-00040-W</t>
  </si>
  <si>
    <t>53-00020-W</t>
  </si>
  <si>
    <t>49-00354-W</t>
  </si>
  <si>
    <t>48-00827-W</t>
  </si>
  <si>
    <t>49-01985-W</t>
  </si>
  <si>
    <t>140902-17</t>
  </si>
  <si>
    <t>HOLOPAW GROVES (PREMIER CITRUS)</t>
  </si>
  <si>
    <t>49-00217-W</t>
  </si>
  <si>
    <t>141103-14</t>
  </si>
  <si>
    <t>INDIAN LAKES UTILITIES</t>
  </si>
  <si>
    <t>53-00150-W</t>
  </si>
  <si>
    <t>150106-10</t>
  </si>
  <si>
    <t>150106-14</t>
  </si>
  <si>
    <t>141118-11</t>
  </si>
  <si>
    <t>PRAIRIE TRACT GROVES</t>
  </si>
  <si>
    <t>ARNOD GROVES AND RANCH</t>
  </si>
  <si>
    <t>PARKSIDE</t>
  </si>
  <si>
    <t>53-00131-W</t>
  </si>
  <si>
    <t>48-02008-W</t>
  </si>
  <si>
    <t>48-02389-W</t>
  </si>
  <si>
    <t>150212-10</t>
  </si>
  <si>
    <t>150212-21</t>
  </si>
  <si>
    <t>CEMEX</t>
  </si>
  <si>
    <t>LAKESHORE STORMWATER AUG. FAC.</t>
  </si>
  <si>
    <t>Stormwater harvesting for recl. Suppl.</t>
  </si>
  <si>
    <t>49-01502-W</t>
  </si>
  <si>
    <t>49-01960-W</t>
  </si>
  <si>
    <t>150226-10</t>
  </si>
  <si>
    <t>150218-3</t>
  </si>
  <si>
    <t>150313-17</t>
  </si>
  <si>
    <t>MACK FARMS</t>
  </si>
  <si>
    <t>NARCOOSEE BLOCK</t>
  </si>
  <si>
    <t>SHINGLE CREEK STORMWATER REUSE AUGMENT.</t>
  </si>
  <si>
    <t>Shingle Creek; Recl. Suppl.</t>
  </si>
  <si>
    <t>49-01057-W</t>
  </si>
  <si>
    <t>49-01978-W</t>
  </si>
  <si>
    <t>49-01409-W</t>
  </si>
  <si>
    <t>150410-1</t>
  </si>
  <si>
    <t>150420-11</t>
  </si>
  <si>
    <t>150602-6</t>
  </si>
  <si>
    <t>FLORA EXPRESS</t>
  </si>
  <si>
    <t>HUNTERS CREEK GOLF COURSE</t>
  </si>
  <si>
    <t>OSCEOLA COUNTY STADIUM</t>
  </si>
  <si>
    <t>49-01990-W</t>
  </si>
  <si>
    <t>48-00252-W</t>
  </si>
  <si>
    <t>49-01192-W</t>
  </si>
  <si>
    <t>150702-10</t>
  </si>
  <si>
    <t>150707-8</t>
  </si>
  <si>
    <t>XL RANCH LTD PARTNERSHIP</t>
  </si>
  <si>
    <t>ORANGE COUNTY CONV CENTER</t>
  </si>
  <si>
    <t>48-00868-W</t>
  </si>
  <si>
    <t>53-00093-W</t>
  </si>
  <si>
    <t>150717-23</t>
  </si>
  <si>
    <t>150717-21</t>
  </si>
  <si>
    <t>150722-11</t>
  </si>
  <si>
    <t>150728-24</t>
  </si>
  <si>
    <t>ADAMS RANCH</t>
  </si>
  <si>
    <t>THE LANDING</t>
  </si>
  <si>
    <t>GROVE NO.91</t>
  </si>
  <si>
    <t>4H RANCH</t>
  </si>
  <si>
    <t>UFA,SW</t>
  </si>
  <si>
    <t>150911-16</t>
  </si>
  <si>
    <t>150914-15</t>
  </si>
  <si>
    <t>STORY ROAD GROVE</t>
  </si>
  <si>
    <t>PIONEER VILLAGE AT SHINGLE CREEK</t>
  </si>
  <si>
    <t>151002-14</t>
  </si>
  <si>
    <t>LAKE WALK IN WATER GROVE</t>
  </si>
  <si>
    <t>53-00308-W</t>
  </si>
  <si>
    <t>49-02122-W</t>
  </si>
  <si>
    <t>49-02078-W</t>
  </si>
  <si>
    <t>53-00031-W</t>
  </si>
  <si>
    <t>UFA and Lake Pierce</t>
  </si>
  <si>
    <t>48-00574-W</t>
  </si>
  <si>
    <t>UFA and Lake Marian</t>
  </si>
  <si>
    <t>49-00776-W</t>
  </si>
  <si>
    <t>151109-12</t>
  </si>
  <si>
    <t>FLEMINGS ROAD GROVE</t>
  </si>
  <si>
    <t>48-00027-W</t>
  </si>
  <si>
    <t>160105-2</t>
  </si>
  <si>
    <t>O BERRY CITRUS GROVE</t>
  </si>
  <si>
    <t>49-02146-W</t>
  </si>
  <si>
    <t>Reduction in irr. Acreage</t>
  </si>
  <si>
    <t>160329-3</t>
  </si>
  <si>
    <t>WALK IN WATER</t>
  </si>
  <si>
    <t>53-00270-W</t>
  </si>
  <si>
    <t>Pending</t>
  </si>
  <si>
    <t>141201-18</t>
  </si>
  <si>
    <t>48-00594-W</t>
  </si>
  <si>
    <t>GATORLAND</t>
  </si>
  <si>
    <t>48-00852-W</t>
  </si>
  <si>
    <t>150324-13</t>
  </si>
  <si>
    <t>MONTE VISTA APTS</t>
  </si>
  <si>
    <t>MT PLEASANT MISSIONARY BAPTIST CHURCH</t>
  </si>
  <si>
    <t>CYPRESS COVE IRRIGATION</t>
  </si>
  <si>
    <t>150605-4</t>
  </si>
  <si>
    <t>48-02435-W</t>
  </si>
  <si>
    <t>GOLFVIEW VILLAS AT MEADOW WOODS H O A INCORPORATED</t>
  </si>
  <si>
    <t>48-02450-W</t>
  </si>
  <si>
    <t>150727-7</t>
  </si>
  <si>
    <t>48-02454-W</t>
  </si>
  <si>
    <t>150806-7</t>
  </si>
  <si>
    <t>LAKE PRESERVE</t>
  </si>
  <si>
    <t>48-02423-W</t>
  </si>
  <si>
    <t>48-02425-W</t>
  </si>
  <si>
    <t>48-02431-W</t>
  </si>
  <si>
    <t>48-02498-W</t>
  </si>
  <si>
    <t>49-00016-W</t>
  </si>
  <si>
    <t>COMFORT SUITES</t>
  </si>
  <si>
    <t>HOMEWOOD SUITES AND HILTON GARDEN INN AT HOSPITALITY WAY</t>
  </si>
  <si>
    <t>M NORTH APARTMENTS</t>
  </si>
  <si>
    <t>BAY RIDGE CONDOMINIUM</t>
  </si>
  <si>
    <t>PRATT PROPERTY</t>
  </si>
  <si>
    <t>150409-6</t>
  </si>
  <si>
    <t>150409-12</t>
  </si>
  <si>
    <t>150504-10</t>
  </si>
  <si>
    <t>160317-11</t>
  </si>
  <si>
    <t>141125-9</t>
  </si>
  <si>
    <t>CIRCLE K 3820 CANOE CREEK ROAD</t>
  </si>
  <si>
    <t>WOODSIDE APARTMENTS</t>
  </si>
  <si>
    <t>49-00804-W</t>
  </si>
  <si>
    <t>PLEASANT HILL</t>
  </si>
  <si>
    <t>151218-14</t>
  </si>
  <si>
    <t>151008-9</t>
  </si>
  <si>
    <t>GREEN SPOT</t>
  </si>
  <si>
    <t>140826-4</t>
  </si>
  <si>
    <t>49-00760-W</t>
  </si>
  <si>
    <t>49-00812-W</t>
  </si>
  <si>
    <t>CELEBRATION SPRING PARK POOL</t>
  </si>
  <si>
    <t>49-02350-W</t>
  </si>
  <si>
    <t>140121-6</t>
  </si>
  <si>
    <t>BOGGY CREEK RESORT AND RV PARK</t>
  </si>
  <si>
    <t>KISSIMMEE READY MIX PLANT</t>
  </si>
  <si>
    <t>140310-13</t>
  </si>
  <si>
    <t>49-01998-W</t>
  </si>
  <si>
    <t>DOUGLAS GRAND WESTSIDE FKA TRADITIONS AT WESTSIDE</t>
  </si>
  <si>
    <t>140910-17</t>
  </si>
  <si>
    <t>49-02136-W</t>
  </si>
  <si>
    <t>OLD MELBOURNE HIGHWAY FKA BOGGS GROVE</t>
  </si>
  <si>
    <t>49-02263-W</t>
  </si>
  <si>
    <t>150424-4</t>
  </si>
  <si>
    <t>IRRIGATION OF SOCCER FIELD/LANDSCAPE</t>
  </si>
  <si>
    <t>BLACKBERRY/BLUEBERRY FIELD</t>
  </si>
  <si>
    <t>MUSLIM CEMETERY OF CENTRAL FLORIDA</t>
  </si>
  <si>
    <t>BLUE WATER EXPRESS WASH 2</t>
  </si>
  <si>
    <t>QUANG THIEN MEDITATION CENTER, INC.</t>
  </si>
  <si>
    <t>140730-10</t>
  </si>
  <si>
    <t>140919-13</t>
  </si>
  <si>
    <t>141121-9</t>
  </si>
  <si>
    <t>141204-20</t>
  </si>
  <si>
    <t>150113-3</t>
  </si>
  <si>
    <t>49-02390-W</t>
  </si>
  <si>
    <t>49-02396-W</t>
  </si>
  <si>
    <t>49-02409-W</t>
  </si>
  <si>
    <t>49-02414-W</t>
  </si>
  <si>
    <t>49-02416-W</t>
  </si>
  <si>
    <t>THE VILLAS AT SOMERSET</t>
  </si>
  <si>
    <t>MADISON CROSSING</t>
  </si>
  <si>
    <t>LANIER</t>
  </si>
  <si>
    <t>FORMOSA GARDEN VILLAGE</t>
  </si>
  <si>
    <t>COOPERSMITH VILLAGE</t>
  </si>
  <si>
    <t>CENTRAL MOTEL</t>
  </si>
  <si>
    <t>150302-9</t>
  </si>
  <si>
    <t>150330-8</t>
  </si>
  <si>
    <t>150518-5</t>
  </si>
  <si>
    <t>151002-15</t>
  </si>
  <si>
    <t>151019-9</t>
  </si>
  <si>
    <t>151026-1</t>
  </si>
  <si>
    <t>49-02422-W</t>
  </si>
  <si>
    <t>49-02427-W</t>
  </si>
  <si>
    <t>49-02439-W</t>
  </si>
  <si>
    <t>49-02456-W</t>
  </si>
  <si>
    <t>49-02461-W</t>
  </si>
  <si>
    <t>49-02463-W</t>
  </si>
  <si>
    <t>MIDFLORIDA CREDIT UNION - KISSIMMEE</t>
  </si>
  <si>
    <t>HERITAGE PARK APARTMENTS</t>
  </si>
  <si>
    <t>BLUEMOSA</t>
  </si>
  <si>
    <t>160120-13</t>
  </si>
  <si>
    <t>160121-16</t>
  </si>
  <si>
    <t>160126-19</t>
  </si>
  <si>
    <t>49-02482-W</t>
  </si>
  <si>
    <t>49-02484-W</t>
  </si>
  <si>
    <t>49-02485-W</t>
  </si>
  <si>
    <t>LARRY A HAVILL REVOCABLE TRUST  F/K/A  D H KEEN INC</t>
  </si>
  <si>
    <t>POINCIANA READY MIX PLANT</t>
  </si>
  <si>
    <t>140310-15</t>
  </si>
  <si>
    <t>53-00188-W</t>
  </si>
  <si>
    <t>HATCHINEHA RANCH</t>
  </si>
  <si>
    <t>140807-18</t>
  </si>
  <si>
    <t>53-00169-W</t>
  </si>
  <si>
    <t>EXP 2/11/18</t>
  </si>
  <si>
    <t>ROAD AND BR.</t>
  </si>
  <si>
    <t>SPRINGLAKE</t>
  </si>
  <si>
    <t>160421-16</t>
  </si>
  <si>
    <t>49-02504-W</t>
  </si>
  <si>
    <t>TRANSITION HOUSE</t>
  </si>
  <si>
    <t>130924-8</t>
  </si>
  <si>
    <t>Lake Marian</t>
  </si>
  <si>
    <t>49-00097-W</t>
  </si>
  <si>
    <t>160428-9</t>
  </si>
  <si>
    <t>48-02513-W</t>
  </si>
  <si>
    <t>SPINICELLI HOLDING CORP</t>
  </si>
  <si>
    <t>160429-4</t>
  </si>
  <si>
    <t>49-02284-W</t>
  </si>
  <si>
    <t>FLORITURF SOUTH</t>
  </si>
  <si>
    <t>48-00288-W</t>
  </si>
  <si>
    <t>WINDERMERE CC</t>
  </si>
  <si>
    <t>Golf course closed; cancelling permit</t>
  </si>
  <si>
    <t>081016-26</t>
  </si>
  <si>
    <t>160502-6</t>
  </si>
  <si>
    <t>53-00272-W</t>
  </si>
  <si>
    <t>FX GROVE</t>
  </si>
  <si>
    <t>CANCELLED</t>
  </si>
  <si>
    <t>160510-10</t>
  </si>
  <si>
    <t>CARD SOD FARMS</t>
  </si>
  <si>
    <t>Mod.- Add SW Pond; same alloc.</t>
  </si>
  <si>
    <t>49-02169-W</t>
  </si>
  <si>
    <t>160517-15</t>
  </si>
  <si>
    <t>49-00937-W</t>
  </si>
  <si>
    <t>KISS. RV PARK</t>
  </si>
  <si>
    <t>160517-2</t>
  </si>
  <si>
    <t>POINCIANA PERSONAL STORAGE</t>
  </si>
  <si>
    <t>49-02516-W</t>
  </si>
  <si>
    <t>160520-20</t>
  </si>
  <si>
    <t>48-02519-W</t>
  </si>
  <si>
    <t>WINDSONG</t>
  </si>
  <si>
    <t>160523-6</t>
  </si>
  <si>
    <t>AMCOR AIPO SITE</t>
  </si>
  <si>
    <t>160520-31</t>
  </si>
  <si>
    <t>SOUTHPORT GROVE</t>
  </si>
  <si>
    <t>48-02106-W</t>
  </si>
  <si>
    <t>49-00416-W</t>
  </si>
  <si>
    <t>Proposed impoundment; Ext. to 7/11/16</t>
  </si>
  <si>
    <t>160527-6</t>
  </si>
  <si>
    <t>49-01107-W</t>
  </si>
  <si>
    <t>REUNION RESORT EAST</t>
  </si>
  <si>
    <t>UFA,SAS</t>
  </si>
  <si>
    <t>UNDER REVIEW</t>
  </si>
  <si>
    <t>160608-16</t>
  </si>
  <si>
    <t>FULFORD CATTLE</t>
  </si>
  <si>
    <t>Lease expires Nov 26, 2022</t>
  </si>
  <si>
    <t>53-00313-W</t>
  </si>
  <si>
    <t>Previous Monthly Groundwater Allocation MGM</t>
  </si>
  <si>
    <t>Previous Daily Groundwater Allocation MGD</t>
  </si>
  <si>
    <t>Requested or Permitted Daily Groundwater Allocation MGD</t>
  </si>
  <si>
    <t>Requested or Permitted Monthly Groundwater Allocation MGM</t>
  </si>
  <si>
    <t>Previous Daily Groundwater (Surficial Aquifer) Allocation MGD</t>
  </si>
  <si>
    <t>Previous Monthly Groundwater (Surficial Aquifer) Allocation MGM</t>
  </si>
  <si>
    <t>Requested or Permitted Daily Surficial Aquifer) Allocation MGD</t>
  </si>
  <si>
    <t>Requested or Permitted Monthly Groundwater (Surficial Aquifer) Allocation MGM</t>
  </si>
  <si>
    <t>Previous Daily Groundwater (Upper Floridan Aquifer) Allocation MGD</t>
  </si>
  <si>
    <t>Previous Monthly Groundwater (Upper Floridan) Allocation MGM</t>
  </si>
  <si>
    <t>Requested or Permitted Daily Groundwater (Upper Floridan Aquifer) Allocation MGD</t>
  </si>
  <si>
    <t>Requested or Permitted Monthly Groundwater (Upper Floridan Aquifer) Allocation MGM</t>
  </si>
  <si>
    <t>Previous Daily Groundwater (Lower Floridan Aquifer) Allocation MGD</t>
  </si>
  <si>
    <t>Previous Monthly  Groundwater (Lower Floridan Aquifer) Allocation MGM</t>
  </si>
  <si>
    <t>Requested or Permitted Daily Groundwater (Lower Floridan Aquifer) Allocation MGD</t>
  </si>
  <si>
    <t>Requested or Permitted Monthly Groundwater (Lower Floridan Aquifer) Allocation MGM</t>
  </si>
  <si>
    <t>Previous Daily Groundwater (Intermediate Confining Unit) Allocation MGD</t>
  </si>
  <si>
    <t>Previous Monthly Groundwater (Intermediate Confining Unit) Allocation MGM</t>
  </si>
  <si>
    <t>Requested or Permitted Daily Groundwater (Intermediate Confining Unit) Allocation MGD</t>
  </si>
  <si>
    <t>Requested or Permitted Monthly Groundwater (Intermediate Confining Unit) Allocation MGM</t>
  </si>
  <si>
    <t>Previous Daily Surface Water Allocation MGD</t>
  </si>
  <si>
    <t>Previous Monthly Surface Water Allocation MGM</t>
  </si>
  <si>
    <t>Requested or Permitted Daily Surface Water Allocation MGD</t>
  </si>
  <si>
    <t>Requested or Permitted Monthly Surface Water Allocation MGM</t>
  </si>
  <si>
    <t>THE BEND</t>
  </si>
  <si>
    <t>ALLIGATOR LAKE</t>
  </si>
  <si>
    <t>WINCEY IRRIGATION WELL</t>
  </si>
  <si>
    <t>THORNTON GROVE</t>
  </si>
  <si>
    <t>160601-18</t>
  </si>
  <si>
    <t>160601-19</t>
  </si>
  <si>
    <t>160609-1</t>
  </si>
  <si>
    <t>160610-11</t>
  </si>
  <si>
    <t>49-00018-W</t>
  </si>
  <si>
    <t>49-00310-W</t>
  </si>
  <si>
    <t>48-02525-W</t>
  </si>
  <si>
    <t>49-00025-W</t>
  </si>
  <si>
    <t>INITIAL REVIEW</t>
  </si>
  <si>
    <t>Requested or Permitted Daily Groundwater Surficial Aquifer) Allocation MGD</t>
  </si>
  <si>
    <t>Previous Monthly Groundwater (Lower Floridan Aquifer) Allocation MGM</t>
  </si>
  <si>
    <t>SJRWMD</t>
  </si>
  <si>
    <t>20-095-302-4</t>
  </si>
  <si>
    <t>Tran Trex Foliage</t>
  </si>
  <si>
    <t>Agricultural</t>
  </si>
  <si>
    <t>Planted acreage reduction</t>
  </si>
  <si>
    <t>Approval</t>
  </si>
  <si>
    <t>2-069-114010-4</t>
  </si>
  <si>
    <t>Niagara Bottling</t>
  </si>
  <si>
    <t>UFA, LFA</t>
  </si>
  <si>
    <t>Commercial/Industrial/Institutional</t>
  </si>
  <si>
    <t>Decreases UFA allocation, adds LFA allocation as majority of water use.</t>
  </si>
  <si>
    <t>20-069-2671-6</t>
  </si>
  <si>
    <t>Town of Montverde</t>
  </si>
  <si>
    <t>Public Supply</t>
  </si>
  <si>
    <t>20-095-51073-6</t>
  </si>
  <si>
    <t>Tangerine Park (FGUA)</t>
  </si>
  <si>
    <t>20-095-3301-7</t>
  </si>
  <si>
    <t>Zellwood Water Users, Inc.</t>
  </si>
  <si>
    <t>no change</t>
  </si>
  <si>
    <t>Allocation reevaluated based on need</t>
  </si>
  <si>
    <t>20-095-3301-6</t>
  </si>
  <si>
    <t>Seq 6 not issued. Project withdrawn.</t>
  </si>
  <si>
    <t>Withdrawn</t>
  </si>
  <si>
    <t>20-095-137004-1</t>
  </si>
  <si>
    <t>House Block</t>
  </si>
  <si>
    <t>UFA, SW</t>
  </si>
  <si>
    <t>Combo GW/SW split 50/50. Does not include ffp allocation of 1.82 mgy</t>
  </si>
  <si>
    <t>20-095-137005-1</t>
  </si>
  <si>
    <t>Barn Block</t>
  </si>
  <si>
    <t>Does not include ffp allocation of 3.65 mgy</t>
  </si>
  <si>
    <t>20-095-137050-1</t>
  </si>
  <si>
    <t>FFT Nursery</t>
  </si>
  <si>
    <t>2-117-8359-6</t>
  </si>
  <si>
    <t>Meredith Manor</t>
  </si>
  <si>
    <t>Interconnect</t>
  </si>
  <si>
    <t>Capped wells, interconnect with Sanlando Utilities.</t>
  </si>
  <si>
    <t>20-069-2728-7</t>
  </si>
  <si>
    <t>Record Buck Farms</t>
  </si>
  <si>
    <t>Does not include ffp 33.45 mgy. Mod adds well.</t>
  </si>
  <si>
    <t>20-095-137005-2</t>
  </si>
  <si>
    <t>No change in allocation or duration from seq 1</t>
  </si>
  <si>
    <t>20-095-7630-5</t>
  </si>
  <si>
    <t>John's Inc.</t>
  </si>
  <si>
    <t>20-095-3387</t>
  </si>
  <si>
    <t>Hodge's Greenhouses</t>
  </si>
  <si>
    <t>Permit expired. No more use. Does not include ffp allocation of 0.96 mgy.</t>
  </si>
  <si>
    <t>Project closed</t>
  </si>
  <si>
    <t>20-069-132582-2</t>
  </si>
  <si>
    <t>South Lake Hospital</t>
  </si>
  <si>
    <t>UFA, SA</t>
  </si>
  <si>
    <t>Landscape/Recreation/Aesthetic</t>
  </si>
  <si>
    <t>No change</t>
  </si>
  <si>
    <t>MOD with combo UFA and SA water use due to increasing landscape and recreational area.</t>
  </si>
  <si>
    <t>2-095-3202-11</t>
  </si>
  <si>
    <t>University of Central Florida</t>
  </si>
  <si>
    <t>100% reuse for LS irrigation</t>
  </si>
  <si>
    <t>20-069-91867-3</t>
  </si>
  <si>
    <t>DOT Clay, LLC</t>
  </si>
  <si>
    <t>Mining/Dewatering</t>
  </si>
  <si>
    <t>Previously permitted 6.67 mgy. Decrease from previous permit. Recirculatory surface water used - not included in spreadsheet. Previous allocation 936 mgy, current allocation 176.4 mgy.</t>
  </si>
  <si>
    <t>2-095-3159-16</t>
  </si>
  <si>
    <t>Orlando Utilities Commission</t>
  </si>
  <si>
    <t>Letter mod.</t>
  </si>
  <si>
    <t>20-095-137190-1</t>
  </si>
  <si>
    <t>Lake Jem Farms/Lake Apopka</t>
  </si>
  <si>
    <t>SW from interceptor canals. System designed to use little or no additional water sources outside of that provided by direct rainfall and adjacent surface water from the canals. The canals receive storm water runoff from surrounding agricultural fields, roadways and a
storm water pond to the north.</t>
  </si>
  <si>
    <t>20-069-137978-1</t>
  </si>
  <si>
    <t>Villa City Watermelon</t>
  </si>
  <si>
    <t>TCUP-095-137930-1001</t>
  </si>
  <si>
    <t>Lakeside Winter Park - Water Feature</t>
  </si>
  <si>
    <t>month</t>
  </si>
  <si>
    <t>monthly</t>
  </si>
  <si>
    <t>Surface water allocation of 12.6 mgy, however, this is a water feature and all water pumped is put back into the lake.</t>
  </si>
  <si>
    <t>20-095-92244-2</t>
  </si>
  <si>
    <t>Silver Star Village</t>
  </si>
  <si>
    <t>20-117-3835-7</t>
  </si>
  <si>
    <t>Heritage Golf Alaqua Lakes</t>
  </si>
  <si>
    <t>SW, UFA</t>
  </si>
  <si>
    <t>Primary use SW - GW as Back-up only</t>
  </si>
  <si>
    <t>2-095-137930-1</t>
  </si>
  <si>
    <t>Surface water allocation. All water except 0.53 mgy of landscape goes back into lake. Permitted 153.3 mgy for recirculatory water feature.</t>
  </si>
  <si>
    <t>2-117-115922-2</t>
  </si>
  <si>
    <t>Lake Jesup Phosphorus Removal</t>
  </si>
  <si>
    <t>SA, SW</t>
  </si>
  <si>
    <t>Environmental</t>
  </si>
  <si>
    <t>Project is anticipated to be completed soon. Allocation amount is the anticipated wate rloss. Permitted for 2737.5 mgy phosphorus treatment removal and 2730.2 mgy to be put back into the lake.</t>
  </si>
  <si>
    <t>20-095-131835-2</t>
  </si>
  <si>
    <t>Larry Bean Citrus Grove</t>
  </si>
  <si>
    <t>Does not include 2.42 mgy ffp</t>
  </si>
  <si>
    <t>20-069-2794-4</t>
  </si>
  <si>
    <t>Simmons Grove</t>
  </si>
  <si>
    <t>Does not include ffp allocation of 3.575 mgy. Permit expired before renewal. Considered new use. Previous allocation 14.9 mgy irrigation and HH, 4.29 mgy ffp.Permit expired 1/2003, application received 6/2014, issued 7/2014. Decrease.</t>
  </si>
  <si>
    <t>20-095-134665-3</t>
  </si>
  <si>
    <t>Walkway Farms, LLC</t>
  </si>
  <si>
    <t>See seq 1</t>
  </si>
  <si>
    <t>2S-069-2855-5</t>
  </si>
  <si>
    <t>Camilla Grove</t>
  </si>
  <si>
    <t>rescind permit</t>
  </si>
  <si>
    <t>Permit rescinded. Allocation is unspecified combination of GW and SW. FFP allocation not included. Estimated 50/50 split between GW and SW since there is no amount specified for each source individually.</t>
  </si>
  <si>
    <t>Voluntary rescission</t>
  </si>
  <si>
    <t>2-069-2700-30</t>
  </si>
  <si>
    <t>Lake Utility Services Inc.</t>
  </si>
  <si>
    <t>20-117-8462-6</t>
  </si>
  <si>
    <t>Seminole Woods</t>
  </si>
  <si>
    <t>2M-095-4611-6</t>
  </si>
  <si>
    <t>Valencia Estates MHP</t>
  </si>
  <si>
    <t>Reduction based on historical use.</t>
  </si>
  <si>
    <t>2B-069-2900-7</t>
  </si>
  <si>
    <t xml:space="preserve">Hillcrest PUD </t>
  </si>
  <si>
    <t>UFA, ULFA, SW</t>
  </si>
  <si>
    <t>Does not include backup GW allocation of 24.049 mgy for GC and 4.253 mgy for landscape</t>
  </si>
  <si>
    <t>2B-069-2700-31</t>
  </si>
  <si>
    <t>Letter mod to correct conditions. No allocation change.</t>
  </si>
  <si>
    <t>2M-117-139365-1</t>
  </si>
  <si>
    <t>Lance Renzulli</t>
  </si>
  <si>
    <t>2M-117-139363-1</t>
  </si>
  <si>
    <t>Steve Young</t>
  </si>
  <si>
    <t>2S-069-2663-5</t>
  </si>
  <si>
    <t>Highland Ranch</t>
  </si>
  <si>
    <t>Change in use from citrus to landscape</t>
  </si>
  <si>
    <t>2M-069-2463-2</t>
  </si>
  <si>
    <t>US 27 Clermont - Development</t>
  </si>
  <si>
    <t>2M-095-139789-1</t>
  </si>
  <si>
    <t>Zellwood Station Geothermal</t>
  </si>
  <si>
    <t>Geothermal heat exchange. No net loss of water since water is returned to the same aquifer via injection well. Allocation for 35.48 mgy, however, no actual use so 0 is entered.</t>
  </si>
  <si>
    <t>2-095-50245-8</t>
  </si>
  <si>
    <t>City of Cocoa</t>
  </si>
  <si>
    <t>UFA, ICU, SW</t>
  </si>
  <si>
    <t>Site has GW and SW. No Changes.</t>
  </si>
  <si>
    <t>2-095-50245-7</t>
  </si>
  <si>
    <t>Site has GW and SW. EOP. Sequence withdrawn. No changes made</t>
  </si>
  <si>
    <t>2M-117-139848-1</t>
  </si>
  <si>
    <t>Amtrak WWTP Upgrade</t>
  </si>
  <si>
    <t>SA</t>
  </si>
  <si>
    <t>Temporary construction dewatering. 0.588 mgy allocation. Short term or recirculatory dewatering.</t>
  </si>
  <si>
    <t>2B-117-8213-46</t>
  </si>
  <si>
    <t xml:space="preserve">Seminole County: Northeast, Northwest, Southeast and Southwest </t>
  </si>
  <si>
    <t>see seq 50</t>
  </si>
  <si>
    <t>2S-095-86536-3</t>
  </si>
  <si>
    <t>Starlight Ranch MHC</t>
  </si>
  <si>
    <t>Downward trend in water use from conservation and utility improvements.</t>
  </si>
  <si>
    <t>2M-117-140167-1</t>
  </si>
  <si>
    <t>Sanford Amtrak Maintenance Yard West of Persimmon Avenue</t>
  </si>
  <si>
    <t>Temporary construction dewatering. 0.9 mgy allocation.  Short term or recirculatory dewatering.</t>
  </si>
  <si>
    <t>2S-117-3796-9</t>
  </si>
  <si>
    <t>A Duda &amp; Sons Inc</t>
  </si>
  <si>
    <t>Reduction based on GWRAPPS and historical use.</t>
  </si>
  <si>
    <t>2-069-2780-5</t>
  </si>
  <si>
    <t>Clermont East Sand Mine</t>
  </si>
  <si>
    <t>voluntary rescission</t>
  </si>
  <si>
    <t>Mine complete. Permit rescinded. Recirculatory SW allocation of 1672 mgy.</t>
  </si>
  <si>
    <t>2B-069-2453-8</t>
  </si>
  <si>
    <t>City of Mascotte</t>
  </si>
  <si>
    <t>Combo allocation with operation limit on UFA of 255.5 mgy of 365 mgy total. Previous allocation was UFA and LFA, however, LFA wells have not been constructed. Estimated 70% previous allocation was for UFA and 30% for LFA, similar to current permit.</t>
  </si>
  <si>
    <t>2B-095-3317-43</t>
  </si>
  <si>
    <t>OCU Water Service Areas</t>
  </si>
  <si>
    <t>Mod to move Malcolm Rd wellfield from UFA to LFA. Adjusted wellfield allocation down to total allocation.</t>
  </si>
  <si>
    <t>2S-069-2663-6</t>
  </si>
  <si>
    <t>See sequence 5 for changes to allocation.</t>
  </si>
  <si>
    <t>2B-117-8213-47</t>
  </si>
  <si>
    <t>2M-095-3370-5</t>
  </si>
  <si>
    <t>Orange Blossom Apopka RV Resort, Inc.</t>
  </si>
  <si>
    <t>2M-095-140994-1</t>
  </si>
  <si>
    <t>Gardner's Fresh Produce, Inc.</t>
  </si>
  <si>
    <t>2B-095-129643-2</t>
  </si>
  <si>
    <t>Eastern Regional WSF</t>
  </si>
  <si>
    <t>Other</t>
  </si>
  <si>
    <t>ASR project - water obtained from OCU potable system. No new GW.</t>
  </si>
  <si>
    <t>2S-095-141495-1</t>
  </si>
  <si>
    <t>I-4 Ultimate - Area 2</t>
  </si>
  <si>
    <t>Surficial aquifer only for dewatering associated with road construction. Allocated 154.78 mgy/0.424 mgd/12.898 mgm. Short term or recirculatory dewatering.</t>
  </si>
  <si>
    <t>2S-095-141546-1</t>
  </si>
  <si>
    <t>I-4 Ultimate - Area 3</t>
  </si>
  <si>
    <t>Surficial aquifer only for dewatering associated with road construction. Allocated 173.31 mgy/0.475 mgd/14.443 mgm. Short term or recirculatory dewatering.</t>
  </si>
  <si>
    <t>2M-117-140167-2</t>
  </si>
  <si>
    <t>Temporary construction dewatering. 0.9 mgy allocation. Short term or recirculatory dewatering.</t>
  </si>
  <si>
    <t>2B-117-8213-48</t>
  </si>
  <si>
    <t>2S-069-2952-4</t>
  </si>
  <si>
    <t>Marsh Grove</t>
  </si>
  <si>
    <t xml:space="preserve">Combo SW/GW. Does not include ffp 5 mgy. Letter Mod - No changes to allocation or duration. 25% SW estimated based on use history. </t>
  </si>
  <si>
    <t>2M-069-69472-3</t>
  </si>
  <si>
    <t>Summer Bay</t>
  </si>
  <si>
    <t>2M-069-2565-6</t>
  </si>
  <si>
    <t>Orange Lake Mobile Home Park</t>
  </si>
  <si>
    <t>2S-069-100-4</t>
  </si>
  <si>
    <t>Green Valley Country Club</t>
  </si>
  <si>
    <t xml:space="preserve">MOD - No change in duration - Reclaimed no longer available. Change from GW as backup to GW/SW combo as main source. 50/50 GW SW estimated </t>
  </si>
  <si>
    <t>2B-117-3826-9</t>
  </si>
  <si>
    <t>City of Altamonte Springs (A-FIRST project)</t>
  </si>
  <si>
    <t>Surface water only. Increase the volume of surface water withdrawn from Cranes Roost lake to support an enhancement of the City's reclaimed water system.</t>
  </si>
  <si>
    <t>2S-095-141662-1</t>
  </si>
  <si>
    <t>VitAg Biosolids to Fertilizer Plant</t>
  </si>
  <si>
    <t>2S-069-142211-1</t>
  </si>
  <si>
    <t>Carl J. Fabry</t>
  </si>
  <si>
    <t>2S-069-103822-3</t>
  </si>
  <si>
    <t>Colina Bay</t>
  </si>
  <si>
    <t>Modification withdrawn. Project never issued. Project currently allocated 70.56 mgy</t>
  </si>
  <si>
    <t>2S-095-142295-1</t>
  </si>
  <si>
    <t>SR 50 D/B over Econlockhatchee River</t>
  </si>
  <si>
    <t>Construction dewatering. Temporary project. Allocated 111.15 mgy. Short term or recirculatory dewatering.</t>
  </si>
  <si>
    <t>2S-069-2631-7</t>
  </si>
  <si>
    <t>Southern Hill Farms</t>
  </si>
  <si>
    <t>Majority of use from reclaimed. GW for freeze protection of crop and supplemental irrigation when reclaimed can't supply enough due to system limitations. Ffp allocation 7.54 mgy. Permitted allocation same as what was permitted in 2011.</t>
  </si>
  <si>
    <t>2S-095-121376-2</t>
  </si>
  <si>
    <t>Zellwood Station Community Assoc</t>
  </si>
  <si>
    <t>2S-095-87722-6</t>
  </si>
  <si>
    <t>Zellwood Station Co-op, Inc.</t>
  </si>
  <si>
    <t>100% decrease in primary allocation to primary reclaimed, 35% increase in back-up allocation. Numbers will show combined diferenced from previously permitted. (-0.096 mgd/-34.91 mgy). Back-up allocation of 10.2 mgy not listed.</t>
  </si>
  <si>
    <t>2S-095-142736-1</t>
  </si>
  <si>
    <t>Orange County Eastern Water Reclamation Facility Phase 5</t>
  </si>
  <si>
    <t>2S-069-2985-5</t>
  </si>
  <si>
    <t>Independent North Sand Mine</t>
  </si>
  <si>
    <t>100% GW reduction (-0.071 mgd/-26mgy). SW allocation from mine pit 14.05 mgy associated with product loss. Water is recirculated back into mine. Previous allocation 6395 mgy SW from mine and 26 mgy from UFA.</t>
  </si>
  <si>
    <t>2B-117-8213-49</t>
  </si>
  <si>
    <t>2B-095-113286-2</t>
  </si>
  <si>
    <t>Bishop &amp; Buttrey Pit 164</t>
  </si>
  <si>
    <t>Borrow pit operation. SW dewatering. Previous allocation 205 mgy/0.562mgd/17.083 mgm. Earlier allocation higher. Current allocation 468 mgy/1.282 mgd/39 mgm. This is dewatering, no actual use except in product loss which was not how the allocation was calculated in this project.</t>
  </si>
  <si>
    <t>2B-095-3368-5</t>
  </si>
  <si>
    <t>City of Winter Garden</t>
  </si>
  <si>
    <t>2P-095-141237-2</t>
  </si>
  <si>
    <t xml:space="preserve">Orlando Utilities Commission (OUC) Stanton Energy Center (SEC) PA 81-14 </t>
  </si>
  <si>
    <t>UFA, SW, RW</t>
  </si>
  <si>
    <t>Not Applicable</t>
  </si>
  <si>
    <t>Power plant site certification for new building. No allocation change.</t>
  </si>
  <si>
    <t>2M-095-143083-1</t>
  </si>
  <si>
    <t>SR 429 Wekiva Parkway Section 1A</t>
  </si>
  <si>
    <t>Truck wash/Dust Control. Temporary use.</t>
  </si>
  <si>
    <t>2S-117-3812-9</t>
  </si>
  <si>
    <t>Rolling Hills Golf Club</t>
  </si>
  <si>
    <t>Acreage and GWRAPPS adjustment</t>
  </si>
  <si>
    <t>2M-069-108674-3</t>
  </si>
  <si>
    <t>ValleyCrest Landscape</t>
  </si>
  <si>
    <t>Nursery irrigation acreage decrease - Reduce Allocation. Combined allocation with SW 50/50 estimated</t>
  </si>
  <si>
    <t>2B-009-10678-7</t>
  </si>
  <si>
    <t>Deer Park Ranch</t>
  </si>
  <si>
    <t>Back up allocation of 29 mgy from SW or GW. Assume sod allocation evenly split between SW and GW for number purposes.</t>
  </si>
  <si>
    <t>2B-117-8274-7</t>
  </si>
  <si>
    <t>City of Longwood</t>
  </si>
  <si>
    <t>Letter Mod - No changes to allocation or duration.</t>
  </si>
  <si>
    <t>2S-069-2391-11</t>
  </si>
  <si>
    <t>Florida Rock Industries Inc</t>
  </si>
  <si>
    <t xml:space="preserve">10 mgy moved to backup allocation for mine. SW allocation for product loss. Previous SW allocation 100,000 mgy for recirculation. Current allocation 43.21 mgy. </t>
  </si>
  <si>
    <t>2S-069-2537-5</t>
  </si>
  <si>
    <t>Organica World LLC</t>
  </si>
  <si>
    <t>Project changed from citrus and ffp to citrus, ffp, greenhouse with some allocation moved to backup allocation. Allocation does not reflect GW reduction to back-up because ffp not included in allocation total.</t>
  </si>
  <si>
    <t>2M-095-3232-5</t>
  </si>
  <si>
    <t>Knuth Grove</t>
  </si>
  <si>
    <t>Does not include ffp 0.77 mgy</t>
  </si>
  <si>
    <t>2B-069-2504-7</t>
  </si>
  <si>
    <t>Water Conserv II Reuse Facilities</t>
  </si>
  <si>
    <t>UFA, LFA, ULFA</t>
  </si>
  <si>
    <t>Does not include ffp 263.4 mgy (0.722 mgd). Previous ffp allocation 568.7 mgy (1.56 mgd). Split allocation for UFA and LFA based on # of wells (1 LFA, 1 U&amp;L FA, 13 UFA. ULFA combined with UFA)</t>
  </si>
  <si>
    <t>2S-117-90945-2</t>
  </si>
  <si>
    <t>Heathrow PUD Master Association</t>
  </si>
  <si>
    <t>2M-069-144760-1</t>
  </si>
  <si>
    <t>Heritage Hills</t>
  </si>
  <si>
    <t>Geothermal heat exchange. No net loss of water since water is returned to the same aquifer via injection well. Allocation for 29.2 mgy, however, no actual use so 0 is entered.</t>
  </si>
  <si>
    <t>2M-117-144999-1</t>
  </si>
  <si>
    <t>Forest City Elementary Sidewalk Project</t>
  </si>
  <si>
    <t>Application withdrawn</t>
  </si>
  <si>
    <t>2B-117-8213-50</t>
  </si>
  <si>
    <t>Most current sequence.</t>
  </si>
  <si>
    <t>2S-095-136663-2</t>
  </si>
  <si>
    <t>Headwater Farms LLC</t>
  </si>
  <si>
    <t>One 12" well replaced by four 4" wells</t>
  </si>
  <si>
    <t>2S-095-4610-4</t>
  </si>
  <si>
    <t>Knox Nursery</t>
  </si>
  <si>
    <t>Previously expired. Considered new use. Does not include ffp allocation of 2.9 mgy. Expired 11/2006, application received 2/2016, issued 2/2016. Decrease.</t>
  </si>
  <si>
    <t>TCUP-095-115794-1038</t>
  </si>
  <si>
    <t>Deseret Agronomic Crops</t>
  </si>
  <si>
    <t>Original Temporary CUP was issued in 2011, parties in mediation.Groundwater is only authorized as a back-up in combination with TCR source as backup</t>
  </si>
  <si>
    <t>TCUP-097-118375-1088</t>
  </si>
  <si>
    <t>Deseret Field Crops</t>
  </si>
  <si>
    <t>Original Temporary CUP was issued in 2011, parties in mediation. Groundwater is only authorized as a back-up (in combination from Taylor Creek source), 2014 -2.1 mg GW used, 2015 - 131.115 mg GW used. Five year avg GW 28.28 mg used.</t>
  </si>
  <si>
    <t>2S-095-142867-1</t>
  </si>
  <si>
    <t>Holt Borrow Pit</t>
  </si>
  <si>
    <t>Borrow pit operation. Allocation mostly for water loss due to product loss. Minimal dust suppression and equipment washing.</t>
  </si>
  <si>
    <t>2M-095-145616-1</t>
  </si>
  <si>
    <t>Wekiva Parkway Road Project</t>
  </si>
  <si>
    <t>Water for road construction.</t>
  </si>
  <si>
    <t>2M-095-3410-3</t>
  </si>
  <si>
    <t>Bekemeyer Citrus</t>
  </si>
  <si>
    <t>Letter mod to change crop use type. Pending application. No increase anticipated. Does not include 2.3 mgy ffp in current permit.</t>
  </si>
  <si>
    <t>2S-069-2763-5</t>
  </si>
  <si>
    <t>Senninger Irrigation</t>
  </si>
  <si>
    <t>2M-095-145626-1</t>
  </si>
  <si>
    <t>Farmland Reserve Beachline Pit</t>
  </si>
  <si>
    <t>Allocation is based on mined product taken off site.</t>
  </si>
  <si>
    <t>2M-117-115922-3</t>
  </si>
  <si>
    <t>2S-095-108321-3</t>
  </si>
  <si>
    <t>Bishop &amp; Buttrey Pit 161</t>
  </si>
  <si>
    <t>Permit voluntarily rescinded. Permit allocated 314 mgy (0.86 mgd) for dewatering. Not representative of actual use since water went back on site. Only use is product loss.</t>
  </si>
  <si>
    <t>2M-117-8229-7</t>
  </si>
  <si>
    <t>Lake Harney Water Association</t>
  </si>
  <si>
    <t>Letter mod. No change in allocation</t>
  </si>
  <si>
    <t>2M-095-145470-1</t>
  </si>
  <si>
    <t>2M-095-145470-2</t>
  </si>
  <si>
    <t>Young Pine Park</t>
  </si>
  <si>
    <t>2M-095-4604-5</t>
  </si>
  <si>
    <t>2M-095-4604-6</t>
  </si>
  <si>
    <t>Crestview Foliage</t>
  </si>
  <si>
    <t>Straight renewal</t>
  </si>
  <si>
    <t>2M-117-8350-5</t>
  </si>
  <si>
    <t>2M-117-8350-6</t>
  </si>
  <si>
    <t>Utilities Inc of Florida - Philips</t>
  </si>
  <si>
    <t>Renewal with decrease</t>
  </si>
  <si>
    <t>2M-117-8347-5</t>
  </si>
  <si>
    <t>2M-117-8347-6</t>
  </si>
  <si>
    <t>Utilities Inc of Florida - Jansen</t>
  </si>
  <si>
    <t>2S-095-4592-3</t>
  </si>
  <si>
    <t>2S-095-4592-4</t>
  </si>
  <si>
    <t>Northern Downtown Orlando Site</t>
  </si>
  <si>
    <t>2S-117-8346-6</t>
  </si>
  <si>
    <t>2S-117-8346-7</t>
  </si>
  <si>
    <t>Utilities Inc of Florida - Weathersfield</t>
  </si>
  <si>
    <t>Pendiing</t>
  </si>
  <si>
    <t>2-069-2913-15</t>
  </si>
  <si>
    <t>City of Groveland - North Potable Supply Service Area</t>
  </si>
  <si>
    <t>pending</t>
  </si>
  <si>
    <t>This sequence is pending. Project out on RAI. Applicant requested increase in allocation. Permitted amount is amount that was requested, however, has not been permitted in pending sequence.</t>
  </si>
  <si>
    <t>2B-095-50258-6</t>
  </si>
  <si>
    <t>City of Maitland Public Supply</t>
  </si>
  <si>
    <t>SW, UFA, ULFA, LFA</t>
  </si>
  <si>
    <t>ULFA combined with UFA. Split allocation based on number of wells for previous permitted allocation. Requested allocation based on PS tables received 4/1/16.</t>
  </si>
  <si>
    <t>2-095-115794-1</t>
  </si>
  <si>
    <t>Application pending. Associated with TCUP. SW with 1,427.6 of GW from UFA as back-up</t>
  </si>
  <si>
    <t>2-097-118375-1</t>
  </si>
  <si>
    <t>2-069-105467-4</t>
  </si>
  <si>
    <t>Groveland Reuse and Alternative Water Utility</t>
  </si>
  <si>
    <t>Combination GW and Reclaimed allocation. Use not wholly GW in current permit. This sequence is pending so assume the same amount for issuance, however, has not been permitted in pending sequence.</t>
  </si>
  <si>
    <t>2B-069-2796-5</t>
  </si>
  <si>
    <t>Groveland South PWSA</t>
  </si>
  <si>
    <t>Sequence pending. Permitted amount is amount that was requested, however, has not been permitted in pending sequence.</t>
  </si>
  <si>
    <t>2-095-119798-1</t>
  </si>
  <si>
    <t>SJR/TCR Water Supply</t>
  </si>
  <si>
    <t>Pending mediation. Surface water only</t>
  </si>
  <si>
    <t>2-009-125333-1</t>
  </si>
  <si>
    <t>Taylor Creek Reservoir</t>
  </si>
  <si>
    <t>Pending mediation. Surface water only. Requested amount and duration from April 2012 revised application.</t>
  </si>
  <si>
    <t>Previous Annual Groundwater Allocation MGD</t>
  </si>
  <si>
    <t>Previous Annual Groundwater Allocation MGM</t>
  </si>
  <si>
    <t>Requested or Permitted Annual Groundwater Allocation MGD</t>
  </si>
  <si>
    <t>Requested or Permitted Annual Groundwater Allocation MGM</t>
  </si>
  <si>
    <t>Previous Annual Groundwater (Surficial Aquifer) Allocation MGD</t>
  </si>
  <si>
    <t>Previous Annual Groundwater (Surficial Aquifer) Allocation MGM</t>
  </si>
  <si>
    <t>Requested or Permitted Annual Groundwater Surficial Aquifer) Allocation MGD</t>
  </si>
  <si>
    <t>Requested or Permitted Annual Groundwater (Surficial Aquifer) Allocation MGM</t>
  </si>
  <si>
    <t>Previous Annual Groundwater (Upper Floridan Aquifer) Allocation MGD</t>
  </si>
  <si>
    <t>Previous Annual Groundwater (Upper Floridan) Allocation MGM</t>
  </si>
  <si>
    <t>Requested or Permitted Annual Groundwater (Upper Floridan Aquifer) Allocation MGD</t>
  </si>
  <si>
    <t>Requested or Permitted Annual Groundwater (Upper Floridan Aquifer) Allocation MGM</t>
  </si>
  <si>
    <t>Previous Annual Groundwater (Lower Floridan Aquifer) Allocation MGD</t>
  </si>
  <si>
    <t>Previous Annual Groundwater (Lower Floridan Aquifer) Allocation MGM</t>
  </si>
  <si>
    <t>Requested or Permitted Annual Groundwater (Lower Floridan Aquifer) Allocation MGD</t>
  </si>
  <si>
    <t>Requested or Permitted Annual Groundwater (Lower Floridan Aquifer) Allocation MGM</t>
  </si>
  <si>
    <t>Previous Annual Groundwater (Intermediate Confining Unit) Allocation MGD</t>
  </si>
  <si>
    <t>Previous Annual Groundwater (Intermediate Confining Unit) Allocation MGM</t>
  </si>
  <si>
    <t>Requested or Permitted Annual Groundwater (Intermediate Confining Unit) Allocation MGD</t>
  </si>
  <si>
    <t>Requested or Permitted Annual Groundwater (Intermediate Confining Unit) Allocation MGM</t>
  </si>
  <si>
    <t>Previous Annual Surface Water Allocation MGD</t>
  </si>
  <si>
    <t>Previous Annual Surface Water Allocation MGM</t>
  </si>
  <si>
    <t>Requested or Permitted Annual Surface Water Allocation MGD</t>
  </si>
  <si>
    <t>Requested or Permitted Annual Surface Water Allocation MGM</t>
  </si>
  <si>
    <t>SWFWMD</t>
  </si>
  <si>
    <t>Mountain Lake Corporation</t>
  </si>
  <si>
    <t>Mod to remove a condition</t>
  </si>
  <si>
    <t>RAI sent</t>
  </si>
  <si>
    <t>William Putnam, III, et. al.</t>
  </si>
  <si>
    <t>Straight Renewal</t>
  </si>
  <si>
    <t>Under review</t>
  </si>
  <si>
    <t>Citrus World</t>
  </si>
  <si>
    <t>Renewal</t>
  </si>
  <si>
    <t>complete</t>
  </si>
  <si>
    <t>Allapatah Cragg Groves</t>
  </si>
  <si>
    <t>Letter mod to add blueberry acreage - slight increase</t>
  </si>
  <si>
    <t>App complete</t>
  </si>
  <si>
    <t>Bartow Facility</t>
  </si>
  <si>
    <t>Discover Academy</t>
  </si>
  <si>
    <t>RAI Sent</t>
  </si>
  <si>
    <t>Kermit C. &amp; Joy C. Sims</t>
  </si>
  <si>
    <t>Renewal with increase due to increased acreage</t>
  </si>
  <si>
    <t>Bryan Groves</t>
  </si>
  <si>
    <t>Ltr. Mod, quantites reduced from this permit have been assigned to WUP No. 20613</t>
  </si>
  <si>
    <t>Waiting for add info.</t>
  </si>
  <si>
    <t>Bartow Phosphate Complex</t>
  </si>
  <si>
    <t>Ownership Transfer</t>
  </si>
  <si>
    <t>Bumgarner Ranch</t>
  </si>
  <si>
    <t>TBD</t>
  </si>
  <si>
    <t>New (expired)</t>
  </si>
  <si>
    <t>Grove #84</t>
  </si>
  <si>
    <t>Letter mod, to reduce acres owned and irrigated by 2.52 acres</t>
  </si>
  <si>
    <t>Under Review</t>
  </si>
  <si>
    <t>Stenger Bros Grove</t>
  </si>
  <si>
    <t>Processing for issuance</t>
  </si>
  <si>
    <t>Bishop of the Diocese of Orlando</t>
  </si>
  <si>
    <t>Expired permit in Hillsborough River Groundwater Basin</t>
  </si>
  <si>
    <t>Duke Grove Partnership</t>
  </si>
  <si>
    <t>Renewal with increase (AGMOD adjusted due acreage and soil change)</t>
  </si>
  <si>
    <t>Routed to peer 7/9/2014</t>
  </si>
  <si>
    <t>Winter Haven Nursery</t>
  </si>
  <si>
    <t>James Ruhl Best</t>
  </si>
  <si>
    <t>IAS</t>
  </si>
  <si>
    <t>Possible decrease, waiting on response</t>
  </si>
  <si>
    <t>Surveyors Lake</t>
  </si>
  <si>
    <t>Complete for issuance</t>
  </si>
  <si>
    <t>Reiter Phares Grove Partnership</t>
  </si>
  <si>
    <t>New (expired).</t>
  </si>
  <si>
    <t>Central Florida Blueberrys LLC</t>
  </si>
  <si>
    <t>modification with reduction to AAD</t>
  </si>
  <si>
    <t xml:space="preserve">Complete  </t>
  </si>
  <si>
    <t>Sheppard Block</t>
  </si>
  <si>
    <t>IAS/UFA</t>
  </si>
  <si>
    <t>Bowlegs Creek Groves Family</t>
  </si>
  <si>
    <t>Slight decrease 100 gpd</t>
  </si>
  <si>
    <t>Complete</t>
  </si>
  <si>
    <t>Orange &amp; Sons, Inc</t>
  </si>
  <si>
    <t>Voight Grove</t>
  </si>
  <si>
    <t>Lake Buffum Grove LTD</t>
  </si>
  <si>
    <t>Renewal with increase</t>
  </si>
  <si>
    <t>Donnie G Alford Trust</t>
  </si>
  <si>
    <t>straight renewal</t>
  </si>
  <si>
    <t>Gapway 2/12</t>
  </si>
  <si>
    <t>Richards Restaurants, Inc</t>
  </si>
  <si>
    <t>Modification to increase irrigated acreage</t>
  </si>
  <si>
    <t>Issued</t>
  </si>
  <si>
    <t>Sandpiper Golf &amp; Country Club</t>
  </si>
  <si>
    <t>Lynchburg Groves</t>
  </si>
  <si>
    <t>Ruddy D Arzon</t>
  </si>
  <si>
    <t>New (expired) permit</t>
  </si>
  <si>
    <t>CL Bundy &amp; Son Inc</t>
  </si>
  <si>
    <t>Godwin Grove</t>
  </si>
  <si>
    <t>Gilbert Bowen</t>
  </si>
  <si>
    <t>10 yr ext</t>
  </si>
  <si>
    <t>letter mod to extend permit term</t>
  </si>
  <si>
    <t>MA Hutcheson Trust</t>
  </si>
  <si>
    <t>Renewal with increase to correct AGMOD</t>
  </si>
  <si>
    <t>SCS</t>
  </si>
  <si>
    <t>J Henry Groves Inc</t>
  </si>
  <si>
    <t>Estes Alturas Grove at Crystal Lake</t>
  </si>
  <si>
    <t>Brian J &amp; Cathleen Connolly</t>
  </si>
  <si>
    <t>Grove #170</t>
  </si>
  <si>
    <t>Weyand Henry Lake</t>
  </si>
  <si>
    <t>Home Block</t>
  </si>
  <si>
    <t>Ownership transfer</t>
  </si>
  <si>
    <t>Processing for Issuance</t>
  </si>
  <si>
    <t>Lake Region Village</t>
  </si>
  <si>
    <t>Renewal with reduction</t>
  </si>
  <si>
    <t>Bartow CommerCenter</t>
  </si>
  <si>
    <t>Surveyors Lake Grove II</t>
  </si>
  <si>
    <t>William Hunter Wright and Natalie Wright</t>
  </si>
  <si>
    <t>Lake Henry Grove</t>
  </si>
  <si>
    <t>RAI/Time Extension</t>
  </si>
  <si>
    <t>Alturas Well #1</t>
  </si>
  <si>
    <t>Gene &amp; Kathy Kniffin</t>
  </si>
  <si>
    <t>Expired Permit</t>
  </si>
  <si>
    <t>Application Complete</t>
  </si>
  <si>
    <t>Linda J May</t>
  </si>
  <si>
    <t>AWS</t>
  </si>
  <si>
    <t>Permittee currently altering surface withdrawal to get under permitting threshold</t>
  </si>
  <si>
    <t>CLA sent;time extension granted</t>
  </si>
  <si>
    <t>Serdynski South and East Blocks 30</t>
  </si>
  <si>
    <t xml:space="preserve">RAI sent </t>
  </si>
  <si>
    <t>Peggy Davis</t>
  </si>
  <si>
    <t>City of Lake Wales</t>
  </si>
  <si>
    <t>Claude E Mann Inc</t>
  </si>
  <si>
    <t>R Dean Langford</t>
  </si>
  <si>
    <t>WL Farms</t>
  </si>
  <si>
    <t>modification to combine a contiguous WUP</t>
  </si>
  <si>
    <t>Ben Hill Griffin Inc</t>
  </si>
  <si>
    <t>Complete not routed yet</t>
  </si>
  <si>
    <t>Tenoroc Fish Mgmt Area</t>
  </si>
  <si>
    <t>Letter mod to add 1,450 gpd for potable/sanitary use</t>
  </si>
  <si>
    <t>Mary E. Rubush Revocable Trust</t>
  </si>
  <si>
    <t>RAI sent 2/12/2014</t>
  </si>
  <si>
    <t>Johnston Properties</t>
  </si>
  <si>
    <t>Brent and Betsy Monk</t>
  </si>
  <si>
    <t>renewal, slight reduction of irrigated acres</t>
  </si>
  <si>
    <t>RAI 5/7/14</t>
  </si>
  <si>
    <t>Earl Dodd</t>
  </si>
  <si>
    <t>Wylie and Marcie Hinton</t>
  </si>
  <si>
    <t>Fort Family Partnership LLC</t>
  </si>
  <si>
    <t>Straight renewal at this time</t>
  </si>
  <si>
    <t>Flying V Inc</t>
  </si>
  <si>
    <t>All-Temp Storage</t>
  </si>
  <si>
    <t>AVT Ranch Inc.</t>
  </si>
  <si>
    <t>TE granted to 5/21/2014</t>
  </si>
  <si>
    <t>Vrionis Blueberries</t>
  </si>
  <si>
    <t>Home Place</t>
  </si>
  <si>
    <t>Renewal with decrease due to decreased acres.</t>
  </si>
  <si>
    <t>Eleanor R Henderson</t>
  </si>
  <si>
    <t>Ownership transfer  - Will be withdrawn because it needs to be modified</t>
  </si>
  <si>
    <t>Gertrude Feil Marital Trust</t>
  </si>
  <si>
    <t>Snyder Discount Tire</t>
  </si>
  <si>
    <t xml:space="preserve">RAI sent, TE granted to 9/25/14 </t>
  </si>
  <si>
    <t>Bowen Brothers Inc.</t>
  </si>
  <si>
    <t>10 year extension</t>
  </si>
  <si>
    <t>Fletcher Groves, Inc</t>
  </si>
  <si>
    <t>LAN / PWS / AGR</t>
  </si>
  <si>
    <t>expired/new WUP</t>
  </si>
  <si>
    <t>LM Hollistor Groves</t>
  </si>
  <si>
    <t>St. Anthony's Catholic Church</t>
  </si>
  <si>
    <t>Straight renewal.  May put GW quantitites on SB to use reclaimed water.</t>
  </si>
  <si>
    <t>APAC - Southeast</t>
  </si>
  <si>
    <t>RAI sent2/13/2014</t>
  </si>
  <si>
    <t>Durrance 150</t>
  </si>
  <si>
    <t>renewal with slight increase to AAD</t>
  </si>
  <si>
    <t>Sangster Groves Inc</t>
  </si>
  <si>
    <t>Mosaic-Agricultural WUP</t>
  </si>
  <si>
    <t>LAN / AGR</t>
  </si>
  <si>
    <t>Modification of surface water irrigation system, no increase</t>
  </si>
  <si>
    <t>Groves 418 and 415</t>
  </si>
  <si>
    <t>RAI sent 8/29/14</t>
  </si>
  <si>
    <t>Grove #401</t>
  </si>
  <si>
    <t>mod decreased acres from 35 to 20</t>
  </si>
  <si>
    <t>Grove 2</t>
  </si>
  <si>
    <t>James M. and Sony L. Stewart</t>
  </si>
  <si>
    <t>Modification for new well</t>
  </si>
  <si>
    <t>DeVane Shirley</t>
  </si>
  <si>
    <t>Cypress Creek Village</t>
  </si>
  <si>
    <t>renewal</t>
  </si>
  <si>
    <t>T&amp;J Peaches, LLC</t>
  </si>
  <si>
    <t>Transfer - withdrawn, Reapplied for modifcation with increase</t>
  </si>
  <si>
    <t>PBP Groves Corp</t>
  </si>
  <si>
    <t>New (Expired) permit with AGMOD increase</t>
  </si>
  <si>
    <t>CLAR 4-10-14 overdue response</t>
  </si>
  <si>
    <t>Cooper-Albriton</t>
  </si>
  <si>
    <t>X L RANCH</t>
  </si>
  <si>
    <t>RAI sent on 5/15/14</t>
  </si>
  <si>
    <t>Pine Island Land Co</t>
  </si>
  <si>
    <t>Bay Lake Farms LLC</t>
  </si>
  <si>
    <t>Slight decrease based on demand calculations</t>
  </si>
  <si>
    <t>In Peer Review Queue</t>
  </si>
  <si>
    <t>Saint Matthew Catholic Church</t>
  </si>
  <si>
    <t>Highland Meadows LLC</t>
  </si>
  <si>
    <t>RAI sent 9/24/2014</t>
  </si>
  <si>
    <t>Polk Block</t>
  </si>
  <si>
    <t>Renewal, combining with WUP 11078</t>
  </si>
  <si>
    <t>Christina Park</t>
  </si>
  <si>
    <t>RAI sent on 5/7/14</t>
  </si>
  <si>
    <t>AOC LLC</t>
  </si>
  <si>
    <t>VMV Groves Inc</t>
  </si>
  <si>
    <t>John C Barnett</t>
  </si>
  <si>
    <t>RAI sent 8/7/2014</t>
  </si>
  <si>
    <t>Calvin M. Barnett</t>
  </si>
  <si>
    <t>RAI sent 9/2/14</t>
  </si>
  <si>
    <t>Charles Stewart</t>
  </si>
  <si>
    <t>Bok Tower 46,47,48</t>
  </si>
  <si>
    <t>RAI sent on 5/16/14</t>
  </si>
  <si>
    <t>Laura V Riche Trust</t>
  </si>
  <si>
    <t>Clarification letter sent</t>
  </si>
  <si>
    <t>Guy W Rubush Rev Living Trust</t>
  </si>
  <si>
    <t>Fox Branch Tropicals Inc</t>
  </si>
  <si>
    <t>Letter modification</t>
  </si>
  <si>
    <t>FDACS</t>
  </si>
  <si>
    <t>Richard Dantzler Residuary Trust/Cody Villa Grove</t>
  </si>
  <si>
    <t xml:space="preserve">Ownership transfer </t>
  </si>
  <si>
    <t>Watters Holdings LLC</t>
  </si>
  <si>
    <t>Straight renewal - Slight decrease due to revised AGMOD &amp; irrigated area</t>
  </si>
  <si>
    <t>Nola Land Company</t>
  </si>
  <si>
    <t>Renewal with combination with WUPs 11548.002, 4760.004, 10101.003</t>
  </si>
  <si>
    <t>CLAR sent 7-15-14, time ext. granted</t>
  </si>
  <si>
    <t>Park Water Company</t>
  </si>
  <si>
    <t>CLA sent</t>
  </si>
  <si>
    <t>Bruce &amp; Susan Davis</t>
  </si>
  <si>
    <t>Clay Cut LLC</t>
  </si>
  <si>
    <t>N/A</t>
  </si>
  <si>
    <t>Mod to combine with WUP 4025</t>
  </si>
  <si>
    <t>application complete</t>
  </si>
  <si>
    <t>Ben Hill Griffin - Ruby Grove</t>
  </si>
  <si>
    <t>Rattlesnake</t>
  </si>
  <si>
    <t>LH Zellwin 4108</t>
  </si>
  <si>
    <t>Grove 497</t>
  </si>
  <si>
    <t>Robbins Rest</t>
  </si>
  <si>
    <t>Alan Walters Home Improvement</t>
  </si>
  <si>
    <t>Florida Sterling Investments</t>
  </si>
  <si>
    <t>increase in irrigated acreage</t>
  </si>
  <si>
    <t>Goodman Grove Partnership</t>
  </si>
  <si>
    <t>CW Carnes</t>
  </si>
  <si>
    <t>Letter modification to increase term of permit</t>
  </si>
  <si>
    <t>Mrs Walter Meier</t>
  </si>
  <si>
    <t>Glenn Stead</t>
  </si>
  <si>
    <t>Counter Block</t>
  </si>
  <si>
    <t>Renewal - possible increase, reviewing acreage</t>
  </si>
  <si>
    <t>Wheeler Farms - OrCo 535</t>
  </si>
  <si>
    <t>Renewal combining WUP No. 5470.006</t>
  </si>
  <si>
    <t>RAI sent 10/13/2014</t>
  </si>
  <si>
    <t>Mixon Family Farms</t>
  </si>
  <si>
    <t>Bradley Dean Reiter</t>
  </si>
  <si>
    <t>Magnatronix Corporation</t>
  </si>
  <si>
    <t>No Change</t>
  </si>
  <si>
    <t>Wheeler Farms - Dekle Grove</t>
  </si>
  <si>
    <t>Central Ridge Inc.</t>
  </si>
  <si>
    <t>Renewal; overpumpage</t>
  </si>
  <si>
    <t>CLAR sent 2/14/2014</t>
  </si>
  <si>
    <t>Martin Land, LLC</t>
  </si>
  <si>
    <t>Moody Lake Grove</t>
  </si>
  <si>
    <t>Renewal.  This permit, if issued, will combine 6 adjacent permtis with no real increase.</t>
  </si>
  <si>
    <t>Complete, recommended for approval</t>
  </si>
  <si>
    <t>Walter S. &amp; Pam Farr and HPG FLP LLP</t>
  </si>
  <si>
    <t>Vigel M and Matthew Varkey</t>
  </si>
  <si>
    <t>Grove 528</t>
  </si>
  <si>
    <t>RAI sent 8/25/14</t>
  </si>
  <si>
    <t>Hunt Bros., Inc.</t>
  </si>
  <si>
    <t>Renewal with modification decrease irrigated acreage</t>
  </si>
  <si>
    <t>Ronnie's Citrus Inc</t>
  </si>
  <si>
    <t>Decrease due to change in irrigated acreage - less serviced parcels</t>
  </si>
  <si>
    <t>In Permit Approval Queue</t>
  </si>
  <si>
    <t>Tindell Block</t>
  </si>
  <si>
    <t>issued</t>
  </si>
  <si>
    <t>Mitco Water Labs. Inc.</t>
  </si>
  <si>
    <t>Grove 452</t>
  </si>
  <si>
    <t>Straight renewal. RAI sent</t>
  </si>
  <si>
    <t>Julia E Livingston Family Trust</t>
  </si>
  <si>
    <t>Increase due to increase in acreage</t>
  </si>
  <si>
    <t>RAI sent 12/23</t>
  </si>
  <si>
    <t>Lost Grove</t>
  </si>
  <si>
    <t>in review</t>
  </si>
  <si>
    <t>AJ &amp; Reba Dubberly</t>
  </si>
  <si>
    <t>Northeast, Northwest and Combee Wellfields</t>
  </si>
  <si>
    <t>Modification to revise enviro monitoring plan</t>
  </si>
  <si>
    <t>Complete on 11/10/14</t>
  </si>
  <si>
    <t>Saddlebag Block</t>
  </si>
  <si>
    <t>UFA/IAS</t>
  </si>
  <si>
    <t>Pittsburg Grove</t>
  </si>
  <si>
    <t>Etter #1</t>
  </si>
  <si>
    <t>Renewal with combine of contiguous WUPs, no net increase in combined quantities</t>
  </si>
  <si>
    <t>Grove No. 326</t>
  </si>
  <si>
    <t>Betty Jane Fulton - Lake Ida</t>
  </si>
  <si>
    <t>RAI sent 9/4/14</t>
  </si>
  <si>
    <t>Betty Jame Fulton</t>
  </si>
  <si>
    <t>Richard G. Ellis</t>
  </si>
  <si>
    <t>Home Grown Fruit, Inc.</t>
  </si>
  <si>
    <t>First RAI sent</t>
  </si>
  <si>
    <t>Grenelefe Resort</t>
  </si>
  <si>
    <t>LAN / PWS</t>
  </si>
  <si>
    <t>Modification to add a  well and reallocate quantities for lawn and landscape irrigation</t>
  </si>
  <si>
    <t>CAC Investments, Inc</t>
  </si>
  <si>
    <t>To be combined with WUP 10803</t>
  </si>
  <si>
    <t>Reserve at Auburndale</t>
  </si>
  <si>
    <t>Gladco Block 93</t>
  </si>
  <si>
    <t>Clar sent 11/12/14</t>
  </si>
  <si>
    <t>North Reedy Grove Inc &amp; Moser</t>
  </si>
  <si>
    <t>King Grove</t>
  </si>
  <si>
    <t>Renewal, combine with WUP 4665</t>
  </si>
  <si>
    <t>Issued on 9/16/14</t>
  </si>
  <si>
    <t>Braggins Block</t>
  </si>
  <si>
    <t>Hill Top</t>
  </si>
  <si>
    <t>Groves 314 318 340 335</t>
  </si>
  <si>
    <t>Renewal, have not reviewed application yet</t>
  </si>
  <si>
    <t>Grove 210 &amp; 216</t>
  </si>
  <si>
    <t>Grove 623</t>
  </si>
  <si>
    <t>Minnie E Dempsey Trust</t>
  </si>
  <si>
    <t xml:space="preserve">Under review </t>
  </si>
  <si>
    <t>Breezy Point</t>
  </si>
  <si>
    <t>LM w/OT to combine contiguous permits(5635&amp;5778)  - duration remains the same for 5635</t>
  </si>
  <si>
    <t>Permit routed for issuance 5/15/15</t>
  </si>
  <si>
    <t>Lewis Griffin Grove</t>
  </si>
  <si>
    <t>South Property Holding</t>
  </si>
  <si>
    <t>under review</t>
  </si>
  <si>
    <t>Story Groves Inc</t>
  </si>
  <si>
    <t>Complete and to be combined into another permit</t>
  </si>
  <si>
    <t>Marsh/Cannon/Shirley</t>
  </si>
  <si>
    <t>Renewal; combine with 2454 and 12194 thus increase</t>
  </si>
  <si>
    <t>GRVS 311-313, et. Al.</t>
  </si>
  <si>
    <t>No request</t>
  </si>
  <si>
    <t>Letter modification to update irrigated acres</t>
  </si>
  <si>
    <t>Haines City Sand Mine</t>
  </si>
  <si>
    <t>DEW</t>
  </si>
  <si>
    <t>Rolling Meadow Ranch</t>
  </si>
  <si>
    <t>Renewal and modification to combine with 9646 and 5841</t>
  </si>
  <si>
    <t>CLA response under review</t>
  </si>
  <si>
    <t>Land Equity Resources</t>
  </si>
  <si>
    <t>Application Complete.  Straight renewal qty with exception on CP qtys</t>
  </si>
  <si>
    <t>Sun Air</t>
  </si>
  <si>
    <t>RAI sent 10/27</t>
  </si>
  <si>
    <t>Saddlebag Lake Resort</t>
  </si>
  <si>
    <t>M&amp;B Grove</t>
  </si>
  <si>
    <t>Sun Ridge Expansion Project</t>
  </si>
  <si>
    <t>Lake Buffum Grove</t>
  </si>
  <si>
    <t>Pending decrease due to reduction of irrigated acreage</t>
  </si>
  <si>
    <t>CE Perry</t>
  </si>
  <si>
    <t>NWRUSA</t>
  </si>
  <si>
    <t>Renewal with increase; amended</t>
  </si>
  <si>
    <t>Time extension approved until 5/27/15</t>
  </si>
  <si>
    <t>CRUSA</t>
  </si>
  <si>
    <t>Ltr modification to extend due dates for changes to ERP.</t>
  </si>
  <si>
    <t>Complete pending affidavit of publication</t>
  </si>
  <si>
    <t>NERUSA</t>
  </si>
  <si>
    <t>UFA/LFA</t>
  </si>
  <si>
    <t xml:space="preserve">Letter Mod to reallocate 1.0 mgd ofUFA quantities to LFA </t>
  </si>
  <si>
    <t>Ltr Mod to change condition language and increase quantites from wells but no increase in total permitted quantity</t>
  </si>
  <si>
    <t>Towerwood Mobile Home Park</t>
  </si>
  <si>
    <t>PWS / LAN</t>
  </si>
  <si>
    <t>RAI-2-26-15</t>
  </si>
  <si>
    <t>Ellis Ranch</t>
  </si>
  <si>
    <t>Change language on a condition</t>
  </si>
  <si>
    <t>City of Eagle Lake PS</t>
  </si>
  <si>
    <t>letter mod</t>
  </si>
  <si>
    <t>3090 80 Foot Rd</t>
  </si>
  <si>
    <t>Tastespire Inc</t>
  </si>
  <si>
    <t>Polk/Auburndale</t>
  </si>
  <si>
    <t>Letter modifical to delete two previously proposed wells.</t>
  </si>
  <si>
    <t>Mt Olive Holdings Inc</t>
  </si>
  <si>
    <t>RAI sent 12/30/2014</t>
  </si>
  <si>
    <t>SAS/UFA</t>
  </si>
  <si>
    <t>modification with increase due to correction of irrigation area</t>
  </si>
  <si>
    <t>Hanley</t>
  </si>
  <si>
    <t xml:space="preserve">Modification, change of crops and increased acreage.  Actual increase not determined yet. </t>
  </si>
  <si>
    <t>Response Under Review</t>
  </si>
  <si>
    <t>Legoland</t>
  </si>
  <si>
    <t>Letter Modification has been issued</t>
  </si>
  <si>
    <t>Lakeside Tree Farm</t>
  </si>
  <si>
    <t>New (Expired)</t>
  </si>
  <si>
    <t>CW Powerline III</t>
  </si>
  <si>
    <t>modification to change from citrus to blueberries, acreage pending</t>
  </si>
  <si>
    <t>Henderson Pace LLC</t>
  </si>
  <si>
    <t>G W Mann</t>
  </si>
  <si>
    <t>AGR / PWS</t>
  </si>
  <si>
    <t>Modification to decrease for partial transfer to WUP 20377</t>
  </si>
  <si>
    <t>On Time Ext.</t>
  </si>
  <si>
    <t>Charles and Vicki Cook</t>
  </si>
  <si>
    <t>Murphy &amp; Old</t>
  </si>
  <si>
    <t>Charles M Lassiter &amp; Craig A</t>
  </si>
  <si>
    <t>renewal and combination with WUPs 8092, 12884, and 8097</t>
  </si>
  <si>
    <t>Masterpiece Road</t>
  </si>
  <si>
    <t>CLAR sent</t>
  </si>
  <si>
    <t>John &amp; Iris Barnett</t>
  </si>
  <si>
    <t>Lago Properties LLC</t>
  </si>
  <si>
    <t>Renewal - slight increase due to AGMOD adjustments</t>
  </si>
  <si>
    <t>Bernard Terence Schimmel &amp; Beverly Ann Barbour</t>
  </si>
  <si>
    <t>Gary Lombardi et. al.</t>
  </si>
  <si>
    <t>Double OJ grove</t>
  </si>
  <si>
    <t>Hubb Dantzler and Glen Blocks</t>
  </si>
  <si>
    <t>Grove #30</t>
  </si>
  <si>
    <t>Grove 64</t>
  </si>
  <si>
    <t>Amber Block</t>
  </si>
  <si>
    <t>RAI sent 4/8</t>
  </si>
  <si>
    <t>Butler Tree Farm LLC</t>
  </si>
  <si>
    <t>Annie B Walker</t>
  </si>
  <si>
    <t>Slight decrease due to an adjustment in irrigated area &amp; new AGMOD</t>
  </si>
  <si>
    <t>Swiss Village</t>
  </si>
  <si>
    <t>Deer Creek RV Golf &amp; Country Club, Inc</t>
  </si>
  <si>
    <t>Lakes Committee</t>
  </si>
  <si>
    <t>Complete for Issuance</t>
  </si>
  <si>
    <t>City of Polk City</t>
  </si>
  <si>
    <t>Big Cypress</t>
  </si>
  <si>
    <t>Posner Retail Center</t>
  </si>
  <si>
    <t>Time extension granted</t>
  </si>
  <si>
    <t>Cypresswood Golf &amp; Country Club</t>
  </si>
  <si>
    <t>Gladys C Flora</t>
  </si>
  <si>
    <t>renewal with decrease</t>
  </si>
  <si>
    <t>Lorenz</t>
  </si>
  <si>
    <t>Monkey Island Groves</t>
  </si>
  <si>
    <t>Routed for issuance</t>
  </si>
  <si>
    <t>Martha Snell</t>
  </si>
  <si>
    <t>Carlton W Lowe</t>
  </si>
  <si>
    <t>RAI sent 12/2/14</t>
  </si>
  <si>
    <t>Leland K Young</t>
  </si>
  <si>
    <t>AP Cutoff Grove</t>
  </si>
  <si>
    <t>Reduction - acreage moved to other new permit (20503) - no net change to Q</t>
  </si>
  <si>
    <t>Robert G Stokes</t>
  </si>
  <si>
    <t>Parson Brown</t>
  </si>
  <si>
    <t>Tub Hill Ranch</t>
  </si>
  <si>
    <t>Modification to increase</t>
  </si>
  <si>
    <t>Time Extension</t>
  </si>
  <si>
    <t>Eden Block</t>
  </si>
  <si>
    <t>Modification</t>
  </si>
  <si>
    <t>CAI sent</t>
  </si>
  <si>
    <t>Mc Teer Farms</t>
  </si>
  <si>
    <t>Bond Grove</t>
  </si>
  <si>
    <t>Email sent</t>
  </si>
  <si>
    <t>Richard &amp; Roberts St. Petery</t>
  </si>
  <si>
    <t>Modification for grove expansion</t>
  </si>
  <si>
    <t>Heartland Supply Inc</t>
  </si>
  <si>
    <t>Hunt Bros Grove 826</t>
  </si>
  <si>
    <t>Highland Park Church</t>
  </si>
  <si>
    <t>AGR / LAN</t>
  </si>
  <si>
    <t>Lake Wales Dry Plant</t>
  </si>
  <si>
    <t>UFA/SW</t>
  </si>
  <si>
    <t>Diamondback Golf Club</t>
  </si>
  <si>
    <t>RAI sent 3/6/2015</t>
  </si>
  <si>
    <t>JHM Grove Partnership</t>
  </si>
  <si>
    <t>Straight renewal with addition of contiguous WUP 5261</t>
  </si>
  <si>
    <t>Mundi and Motilall</t>
  </si>
  <si>
    <t>Denial pending</t>
  </si>
  <si>
    <t>Denial Pending</t>
  </si>
  <si>
    <t>Archie D Campbell</t>
  </si>
  <si>
    <t>Slight decrease 700 gpd</t>
  </si>
  <si>
    <t>RAI sent 12/18/14</t>
  </si>
  <si>
    <t>Reservation Golf Course</t>
  </si>
  <si>
    <t>Alturas</t>
  </si>
  <si>
    <t>New/Expired Permit with same quantities as previous revision</t>
  </si>
  <si>
    <t>Edmar Groves LLC</t>
  </si>
  <si>
    <t>Renewal and combine with adjacent WUP No. 8781</t>
  </si>
  <si>
    <t>James W Thompson</t>
  </si>
  <si>
    <t>Townsend Groves</t>
  </si>
  <si>
    <t>Modification to replace failed well.</t>
  </si>
  <si>
    <t>Grove 211</t>
  </si>
  <si>
    <t>Sullivan Block</t>
  </si>
  <si>
    <t>mod to add well</t>
  </si>
  <si>
    <t>Daniel S &amp; Karen H Mcclellan</t>
  </si>
  <si>
    <t>Taylor Grove</t>
  </si>
  <si>
    <t>Claude Sanders</t>
  </si>
  <si>
    <t>To be withdrawn</t>
  </si>
  <si>
    <t>Grove 105</t>
  </si>
  <si>
    <t>UNK</t>
  </si>
  <si>
    <t>Total well depth unknown</t>
  </si>
  <si>
    <t>Holly Hill Fruit Packing</t>
  </si>
  <si>
    <t>Renewal,  quantity increased due to soil type correction</t>
  </si>
  <si>
    <t>Holly Hill Well #3</t>
  </si>
  <si>
    <t>Flagpole Block</t>
  </si>
  <si>
    <t>Modification to address increased water needs for citrus greening; potential quantity change under review</t>
  </si>
  <si>
    <t>Golden Bough Grove</t>
  </si>
  <si>
    <t>Slight decrease 300 gpd</t>
  </si>
  <si>
    <t>PARCEL 8 LYLE GROVE</t>
  </si>
  <si>
    <t>na</t>
  </si>
  <si>
    <t>additional 10</t>
  </si>
  <si>
    <t>not eligible</t>
  </si>
  <si>
    <t>Modification for term extension - does not qualify</t>
  </si>
  <si>
    <t>will be withdrawn</t>
  </si>
  <si>
    <t>Muziris-2</t>
  </si>
  <si>
    <t>Slight decrease 2,900 gpd</t>
  </si>
  <si>
    <t>RAI sent 12/31/14, time ext granted</t>
  </si>
  <si>
    <t>BIG BOWMAN GROVE</t>
  </si>
  <si>
    <t>D&amp;L Farms Inc</t>
  </si>
  <si>
    <t>SR 60 Farm</t>
  </si>
  <si>
    <t>Modification to change in crop from citrus to tomatoes</t>
  </si>
  <si>
    <t>East Side Elementary</t>
  </si>
  <si>
    <t>Julia Livingston Trust</t>
  </si>
  <si>
    <t>CC Calhoun Inc</t>
  </si>
  <si>
    <t>CRUTCHFIELD GROVE</t>
  </si>
  <si>
    <t>Rebekah J Johnson</t>
  </si>
  <si>
    <t>Powell North Grove</t>
  </si>
  <si>
    <t>Organic Matters Inc</t>
  </si>
  <si>
    <t xml:space="preserve">RAI sent  </t>
  </si>
  <si>
    <t>Stenger Groves LLC</t>
  </si>
  <si>
    <t>FDEP, WRM, Mining and Reclamation</t>
  </si>
  <si>
    <t>Not Specified</t>
  </si>
  <si>
    <t>Emmett &amp; Arost Groves</t>
  </si>
  <si>
    <t>no chhange</t>
  </si>
  <si>
    <t>Bartow Ornamental Nursery</t>
  </si>
  <si>
    <t>Sunset Lakes Condos</t>
  </si>
  <si>
    <t>Polk Power Station - Site Certification A3</t>
  </si>
  <si>
    <t>FDEP Site Certification; no change in quantities</t>
  </si>
  <si>
    <t>Issued  March 4, 2015</t>
  </si>
  <si>
    <t>Willis Properties</t>
  </si>
  <si>
    <t>transfer</t>
  </si>
  <si>
    <t>under Review, needs mod.</t>
  </si>
  <si>
    <t>GROVES 427 422 &amp; 423</t>
  </si>
  <si>
    <t>Modification to combine permits and extend permit term +10 years</t>
  </si>
  <si>
    <t>Fort Meade High School</t>
  </si>
  <si>
    <t>SA/IAS</t>
  </si>
  <si>
    <t>Winter Haven Mobile Home Park</t>
  </si>
  <si>
    <t>Citrosuco North America</t>
  </si>
  <si>
    <t>St. Anne's Block</t>
  </si>
  <si>
    <t>Southeastern University</t>
  </si>
  <si>
    <t>Increase in quantity and proposed well.  Waiting for RAI response to confirm amount.</t>
  </si>
  <si>
    <t>RAI sent on 11/4/14</t>
  </si>
  <si>
    <t>R&amp;V 8" Well</t>
  </si>
  <si>
    <t>modification to add potable/sanitary well</t>
  </si>
  <si>
    <t>Ash Chemical, LLC WUP (Formerly 2003559.003)</t>
  </si>
  <si>
    <t>Request a straight renewal</t>
  </si>
  <si>
    <t>Stephenson 80</t>
  </si>
  <si>
    <t>First RAI Sent</t>
  </si>
  <si>
    <t>NATMI National Truck Terminals LLC</t>
  </si>
  <si>
    <t>William Braswell</t>
  </si>
  <si>
    <t>BRASWELL AT LAKE JULIANNA</t>
  </si>
  <si>
    <t>Complete under review</t>
  </si>
  <si>
    <t>Thomas S Jr &amp; Carol S Rlickets</t>
  </si>
  <si>
    <t>Country Club of Winter Haven</t>
  </si>
  <si>
    <t>Straight renewal with RAI response</t>
  </si>
  <si>
    <t>RAI sent 12/22/14, time ext granted</t>
  </si>
  <si>
    <t>Uries Jaffa</t>
  </si>
  <si>
    <t>Southern Dunes Golf and CC</t>
  </si>
  <si>
    <t>Renewal of sand mine</t>
  </si>
  <si>
    <t>Davenport Mining</t>
  </si>
  <si>
    <t>Hugh J. Tidwell</t>
  </si>
  <si>
    <t>Davenport Location</t>
  </si>
  <si>
    <t>UFA/AWS</t>
  </si>
  <si>
    <t>Block 60</t>
  </si>
  <si>
    <t>John Jahreis</t>
  </si>
  <si>
    <t>Farm 8003</t>
  </si>
  <si>
    <t>Sofidel America, Inc</t>
  </si>
  <si>
    <t>Ridge Community Senior</t>
  </si>
  <si>
    <t>Jordans Grove Development</t>
  </si>
  <si>
    <t>South Property Holdings LLC</t>
  </si>
  <si>
    <t>Renewal with potential increase due to acreage adjustment</t>
  </si>
  <si>
    <t>Buffum 4</t>
  </si>
  <si>
    <t>Danny L &amp; Betty A Thomas</t>
  </si>
  <si>
    <t>Renewal with increase due to increase of irrigated acres</t>
  </si>
  <si>
    <t>Lake Ashton Golf Club</t>
  </si>
  <si>
    <t>Extension granted</t>
  </si>
  <si>
    <t>Ridge Live Steamers Inc</t>
  </si>
  <si>
    <t>RAI sent 2/17/2015</t>
  </si>
  <si>
    <t>James M and Deborah D Shinn</t>
  </si>
  <si>
    <t>AGMOD indicates slight increase</t>
  </si>
  <si>
    <t>RAI-2-19-15</t>
  </si>
  <si>
    <t>Clear Springs Blueberries</t>
  </si>
  <si>
    <t>Modification to increase from surface water withdrawals; no change in UFA</t>
  </si>
  <si>
    <t>Robby's Septic</t>
  </si>
  <si>
    <t>Auburndale Ready Mix Plant</t>
  </si>
  <si>
    <t>Citrus Service &amp; Consulting</t>
  </si>
  <si>
    <t>Alafia Preserve LLC, et. al.</t>
  </si>
  <si>
    <t>Ltr Modification, delay  reporting conditions</t>
  </si>
  <si>
    <t>The Villages Combined WUP</t>
  </si>
  <si>
    <t xml:space="preserve">Requesting additional 305,217 of groundwater from the Lower Floridan aquifer </t>
  </si>
  <si>
    <t>Groundwater quantities are unchanged, adjusted quantities reflect coding change to re-pump on surface water sources</t>
  </si>
  <si>
    <t>Mitco</t>
  </si>
  <si>
    <t>Doug Michaels</t>
  </si>
  <si>
    <t>renewal with slight increase</t>
  </si>
  <si>
    <t>80 Ac Blueberry Block</t>
  </si>
  <si>
    <t>Expanding acreage from 20 to 80</t>
  </si>
  <si>
    <t>RAI sent 3/11/2015</t>
  </si>
  <si>
    <t>J &amp; M Ranch</t>
  </si>
  <si>
    <t>Modification to increase acreage</t>
  </si>
  <si>
    <t>RAI sent / time ext.</t>
  </si>
  <si>
    <t>Burns Avenue</t>
  </si>
  <si>
    <t>New</t>
  </si>
  <si>
    <t>Sweet Hill Mine</t>
  </si>
  <si>
    <t>House Property</t>
  </si>
  <si>
    <t>In the process of being withdrawn</t>
  </si>
  <si>
    <t>Hancock Lake Ranch Blueberries</t>
  </si>
  <si>
    <t>New Permit</t>
  </si>
  <si>
    <t>County Line Ranch</t>
  </si>
  <si>
    <t>Heavenscent Citrus</t>
  </si>
  <si>
    <t>Home Navels</t>
  </si>
  <si>
    <t>?</t>
  </si>
  <si>
    <t>Wylie Hinton</t>
  </si>
  <si>
    <t>NA</t>
  </si>
  <si>
    <t>Church Grove</t>
  </si>
  <si>
    <t xml:space="preserve"> UFA</t>
  </si>
  <si>
    <t>New Permit (expired since 2009)</t>
  </si>
  <si>
    <t>Haines City</t>
  </si>
  <si>
    <t>Transfer</t>
  </si>
  <si>
    <t>Liberty Grove</t>
  </si>
  <si>
    <t>New (expired ) permit decrease in CP quantity</t>
  </si>
  <si>
    <t>Kickin Water</t>
  </si>
  <si>
    <t>New Permit - acreage split off from WUP 9057.  No net change to Q</t>
  </si>
  <si>
    <t>Peaceful Meadows</t>
  </si>
  <si>
    <t>Lakeland Brewing</t>
  </si>
  <si>
    <t>Unk</t>
  </si>
  <si>
    <t>New permit</t>
  </si>
  <si>
    <t>Pennington Groves</t>
  </si>
  <si>
    <t>unk</t>
  </si>
  <si>
    <t>Lakeland Senior Living</t>
  </si>
  <si>
    <t xml:space="preserve">Modification to move quantities from one well to another </t>
  </si>
  <si>
    <t>Routed for issuance 6/16/16</t>
  </si>
  <si>
    <t>Home 160</t>
  </si>
  <si>
    <t>New Permit, quantities previously  permitted under WUP 6344</t>
  </si>
  <si>
    <t>Wabash Shopping Center</t>
  </si>
  <si>
    <t>AGR / IND</t>
  </si>
  <si>
    <t>Jose Garcia Ortiz</t>
  </si>
  <si>
    <t>New permit requesting quantities for 30 head of cattle</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</si>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</sst>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mm/dd/yy;@"/>
    <numFmt numFmtId="166" formatCode="0.000"/>
    <numFmt numFmtId="167" formatCode="#,##0.0000"/>
    <numFmt numFmtId="168" formatCode="0.0000"/>
  </numFmts>
  <fonts count="20">
    <font>
      <sz val="11"/>
      <color theme="1"/>
      <name val="Calibri"/>
      <family val="2"/>
      <scheme val="minor"/>
    </font>
    <font>
      <b/>
      <sz val="11"/>
      <color theme="1"/>
      <name val="Calibri"/>
      <family val="2"/>
      <scheme val="minor"/>
    </font>
    <font>
      <sz val="11"/>
      <name val="Calibri"/>
      <family val="2"/>
      <scheme val="minor"/>
    </font>
    <font>
      <sz val="11"/>
      <color theme="1" tint="4.9989318521683403E-2"/>
      <name val="Calibri"/>
      <family val="2"/>
      <scheme val="minor"/>
    </font>
    <font>
      <sz val="10"/>
      <name val="Calibri"/>
      <family val="2"/>
      <scheme val="minor"/>
    </font>
    <font>
      <sz val="10"/>
      <name val="Arial"/>
      <family val="2"/>
    </font>
    <font>
      <sz val="11"/>
      <color theme="1"/>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9"/>
      <color indexed="81"/>
      <name val="Tahoma"/>
      <family val="2"/>
    </font>
    <font>
      <sz val="9"/>
      <color indexed="81"/>
      <name val="Tahoma"/>
      <family val="2"/>
    </font>
    <font>
      <b/>
      <sz val="9"/>
      <color indexed="81"/>
      <name val="Tahoma"/>
      <charset val="1"/>
    </font>
    <font>
      <sz val="9"/>
      <color indexed="81"/>
      <name val="Tahoma"/>
      <charset val="1"/>
    </font>
    <font>
      <sz val="14"/>
      <color theme="1"/>
      <name val="Calibri"/>
      <family val="2"/>
      <scheme val="minor"/>
    </font>
    <font>
      <sz val="14"/>
      <name val="Calibri"/>
      <family val="2"/>
      <scheme val="minor"/>
    </font>
    <font>
      <sz val="14"/>
      <name val="Dialog"/>
    </font>
    <font>
      <sz val="11"/>
      <color indexed="8"/>
      <name val="Calibri"/>
      <family val="2"/>
      <scheme val="minor"/>
    </font>
    <font>
      <sz val="14"/>
      <color indexed="8"/>
      <name val="Calibri"/>
      <family val="2"/>
      <scheme val="minor"/>
    </font>
    <font>
      <sz val="14"/>
      <name val="Arial"/>
      <family val="2"/>
    </font>
  </fonts>
  <fills count="1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theme="4" tint="0.59999389629810485"/>
      </patternFill>
    </fill>
    <fill>
      <patternFill patternType="solid">
        <fgColor theme="0"/>
        <bgColor theme="4" tint="0.79998168889431442"/>
      </patternFill>
    </fill>
    <fill>
      <patternFill patternType="solid">
        <fgColor rgb="FFFFFFFF"/>
      </patternFill>
    </fill>
    <fill>
      <patternFill patternType="solid">
        <fgColor rgb="FFFFC7CE"/>
      </patternFill>
    </fill>
    <fill>
      <patternFill patternType="solid">
        <fgColor rgb="FFFFEB9C"/>
      </patternFill>
    </fill>
    <fill>
      <patternFill patternType="solid">
        <fgColor rgb="FFFFCC99"/>
      </patternFill>
    </fill>
    <fill>
      <patternFill patternType="solid">
        <fgColor rgb="FFFFFFCC"/>
      </patternFill>
    </fill>
    <fill>
      <patternFill patternType="solid">
        <fgColor theme="8" tint="0.79998168889431442"/>
        <bgColor indexed="65"/>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rgb="FF7F7F7F"/>
      </left>
      <right style="medium">
        <color indexed="64"/>
      </right>
      <top style="thin">
        <color rgb="FF7F7F7F"/>
      </top>
      <bottom style="thin">
        <color rgb="FF7F7F7F"/>
      </bottom>
      <diagonal/>
    </border>
    <border>
      <left/>
      <right style="thin">
        <color rgb="FF7F7F7F"/>
      </right>
      <top style="thin">
        <color rgb="FF7F7F7F"/>
      </top>
      <bottom style="thin">
        <color rgb="FF7F7F7F"/>
      </bottom>
      <diagonal/>
    </border>
    <border>
      <left/>
      <right style="thin">
        <color rgb="FF7F7F7F"/>
      </right>
      <top/>
      <bottom style="thin">
        <color rgb="FF7F7F7F"/>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8">
    <xf numFmtId="0" fontId="0" fillId="0" borderId="0"/>
    <xf numFmtId="0" fontId="7" fillId="9" borderId="0" applyNumberFormat="0" applyBorder="0" applyAlignment="0" applyProtection="0"/>
    <xf numFmtId="0" fontId="8" fillId="10" borderId="0" applyNumberFormat="0" applyBorder="0" applyAlignment="0" applyProtection="0"/>
    <xf numFmtId="0" fontId="9" fillId="11" borderId="8" applyNumberFormat="0" applyAlignment="0" applyProtection="0"/>
    <xf numFmtId="0" fontId="6" fillId="12" borderId="9" applyNumberFormat="0" applyFont="0" applyAlignment="0" applyProtection="0"/>
    <xf numFmtId="0" fontId="6" fillId="13" borderId="0" applyNumberFormat="0" applyBorder="0" applyAlignment="0" applyProtection="0"/>
    <xf numFmtId="0" fontId="5" fillId="0" borderId="0"/>
    <xf numFmtId="0" fontId="17" fillId="0" borderId="0"/>
  </cellStyleXfs>
  <cellXfs count="301">
    <xf numFmtId="0" fontId="0" fillId="0" borderId="0" xfId="0"/>
    <xf numFmtId="0" fontId="0" fillId="2" borderId="1" xfId="0" applyFont="1" applyFill="1" applyBorder="1" applyAlignment="1">
      <alignment horizontal="center" vertical="center" wrapText="1"/>
    </xf>
    <xf numFmtId="164" fontId="0" fillId="2" borderId="1" xfId="0" applyNumberFormat="1" applyFont="1" applyFill="1" applyBorder="1" applyAlignment="1">
      <alignment horizontal="center" vertical="center" wrapText="1"/>
    </xf>
    <xf numFmtId="164" fontId="0" fillId="3" borderId="2" xfId="0" applyNumberFormat="1" applyFont="1" applyFill="1" applyBorder="1" applyAlignment="1">
      <alignment horizontal="center" vertical="center" wrapText="1"/>
    </xf>
    <xf numFmtId="164" fontId="0" fillId="2" borderId="3" xfId="0" applyNumberFormat="1" applyFont="1" applyFill="1" applyBorder="1" applyAlignment="1">
      <alignment horizontal="center" vertical="center" wrapText="1"/>
    </xf>
    <xf numFmtId="164" fontId="0" fillId="0" borderId="0" xfId="0" applyNumberFormat="1"/>
    <xf numFmtId="0" fontId="0" fillId="0" borderId="1" xfId="0" applyBorder="1" applyAlignment="1">
      <alignment wrapText="1"/>
    </xf>
    <xf numFmtId="0" fontId="0" fillId="0" borderId="1" xfId="0" applyBorder="1"/>
    <xf numFmtId="164" fontId="0" fillId="0" borderId="1" xfId="0" applyNumberFormat="1" applyBorder="1"/>
    <xf numFmtId="0" fontId="0" fillId="0" borderId="0" xfId="0" applyAlignment="1">
      <alignment wrapText="1"/>
    </xf>
    <xf numFmtId="14" fontId="0" fillId="0" borderId="1" xfId="0" applyNumberFormat="1" applyBorder="1"/>
    <xf numFmtId="164" fontId="0" fillId="3" borderId="0" xfId="0" applyNumberFormat="1" applyFill="1"/>
    <xf numFmtId="0" fontId="0" fillId="0" borderId="1" xfId="0" applyFont="1" applyBorder="1"/>
    <xf numFmtId="0" fontId="0" fillId="0" borderId="1" xfId="0" applyFont="1" applyBorder="1" applyAlignment="1">
      <alignment wrapText="1"/>
    </xf>
    <xf numFmtId="0" fontId="0" fillId="6" borderId="1" xfId="0" applyFont="1" applyFill="1" applyBorder="1" applyAlignment="1">
      <alignment vertical="top"/>
    </xf>
    <xf numFmtId="0" fontId="2" fillId="4" borderId="1" xfId="0" applyFont="1" applyFill="1" applyBorder="1" applyAlignment="1">
      <alignment vertical="top"/>
    </xf>
    <xf numFmtId="0" fontId="2" fillId="4" borderId="1" xfId="0" applyFont="1" applyFill="1" applyBorder="1"/>
    <xf numFmtId="0" fontId="2" fillId="4" borderId="1" xfId="0" applyFont="1" applyFill="1" applyBorder="1" applyAlignment="1">
      <alignment vertical="top" wrapText="1"/>
    </xf>
    <xf numFmtId="0" fontId="0" fillId="0" borderId="1" xfId="0" applyFont="1" applyFill="1" applyBorder="1" applyAlignment="1">
      <alignment vertical="top"/>
    </xf>
    <xf numFmtId="0" fontId="3" fillId="7" borderId="1" xfId="0" applyFont="1" applyFill="1" applyBorder="1"/>
    <xf numFmtId="0" fontId="3" fillId="6" borderId="1" xfId="0" applyFont="1" applyFill="1" applyBorder="1"/>
    <xf numFmtId="0" fontId="2" fillId="0" borderId="1" xfId="0" applyFont="1" applyFill="1" applyBorder="1"/>
    <xf numFmtId="0" fontId="2" fillId="4" borderId="1" xfId="0" applyFont="1" applyFill="1" applyBorder="1" applyAlignment="1">
      <alignment horizontal="left" vertical="top"/>
    </xf>
    <xf numFmtId="0" fontId="5" fillId="0" borderId="1" xfId="0" applyFont="1" applyFill="1" applyBorder="1"/>
    <xf numFmtId="0" fontId="0" fillId="0" borderId="1" xfId="0" applyFont="1" applyFill="1" applyBorder="1"/>
    <xf numFmtId="0" fontId="4" fillId="0" borderId="1" xfId="0" applyFont="1" applyFill="1" applyBorder="1"/>
    <xf numFmtId="0" fontId="0" fillId="0" borderId="1" xfId="0" quotePrefix="1" applyFont="1" applyFill="1" applyBorder="1"/>
    <xf numFmtId="165" fontId="2" fillId="0" borderId="1" xfId="0" applyNumberFormat="1" applyFont="1" applyFill="1" applyBorder="1"/>
    <xf numFmtId="0" fontId="4" fillId="0" borderId="1" xfId="0" applyFont="1" applyFill="1" applyBorder="1" applyAlignment="1">
      <alignment wrapText="1"/>
    </xf>
    <xf numFmtId="0" fontId="0" fillId="0" borderId="1" xfId="0" applyNumberFormat="1" applyFill="1" applyBorder="1"/>
    <xf numFmtId="0" fontId="0" fillId="0" borderId="1" xfId="0" applyNumberFormat="1" applyBorder="1"/>
    <xf numFmtId="2" fontId="5" fillId="0" borderId="1" xfId="0" applyNumberFormat="1" applyFont="1" applyFill="1" applyBorder="1"/>
    <xf numFmtId="14" fontId="0" fillId="4" borderId="1" xfId="0" applyNumberFormat="1" applyFill="1" applyBorder="1"/>
    <xf numFmtId="14" fontId="0" fillId="0" borderId="1" xfId="0" applyNumberFormat="1" applyFont="1" applyBorder="1"/>
    <xf numFmtId="0" fontId="0" fillId="4" borderId="1" xfId="0" applyFont="1" applyFill="1" applyBorder="1"/>
    <xf numFmtId="0" fontId="0" fillId="0" borderId="1" xfId="0" applyFill="1" applyBorder="1"/>
    <xf numFmtId="14" fontId="0" fillId="0" borderId="1" xfId="0" applyNumberFormat="1" applyFill="1" applyBorder="1"/>
    <xf numFmtId="164" fontId="0" fillId="4" borderId="1" xfId="0" applyNumberFormat="1" applyFill="1" applyBorder="1"/>
    <xf numFmtId="14" fontId="0" fillId="0" borderId="1" xfId="0" applyNumberFormat="1" applyBorder="1" applyAlignment="1">
      <alignment vertical="top"/>
    </xf>
    <xf numFmtId="0" fontId="0" fillId="0" borderId="1" xfId="0" applyFill="1" applyBorder="1" applyAlignment="1">
      <alignment vertical="top"/>
    </xf>
    <xf numFmtId="164" fontId="0" fillId="0" borderId="1" xfId="0" applyNumberFormat="1"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4" xfId="0" applyFill="1" applyBorder="1"/>
    <xf numFmtId="0" fontId="2" fillId="4" borderId="4" xfId="0" applyFont="1" applyFill="1" applyBorder="1" applyAlignment="1">
      <alignment vertical="top"/>
    </xf>
    <xf numFmtId="0" fontId="0" fillId="0" borderId="4" xfId="0" applyBorder="1" applyAlignment="1">
      <alignment wrapText="1"/>
    </xf>
    <xf numFmtId="14" fontId="0" fillId="0" borderId="4" xfId="0" applyNumberFormat="1" applyBorder="1"/>
    <xf numFmtId="164" fontId="0" fillId="0" borderId="4" xfId="0" applyNumberFormat="1" applyBorder="1"/>
    <xf numFmtId="0" fontId="0" fillId="0" borderId="4" xfId="0" applyBorder="1"/>
    <xf numFmtId="0" fontId="1" fillId="5" borderId="5" xfId="0" applyFont="1" applyFill="1" applyBorder="1"/>
    <xf numFmtId="0" fontId="0" fillId="5" borderId="6" xfId="0" applyFill="1" applyBorder="1"/>
    <xf numFmtId="0" fontId="0" fillId="5" borderId="6" xfId="0" applyFill="1" applyBorder="1" applyAlignment="1">
      <alignment wrapText="1"/>
    </xf>
    <xf numFmtId="164" fontId="0" fillId="5" borderId="6" xfId="0" applyNumberFormat="1" applyFill="1" applyBorder="1"/>
    <xf numFmtId="164" fontId="1" fillId="5" borderId="6" xfId="0" applyNumberFormat="1" applyFont="1" applyFill="1" applyBorder="1"/>
    <xf numFmtId="0" fontId="0" fillId="5" borderId="7" xfId="0" applyFill="1" applyBorder="1" applyAlignment="1">
      <alignment wrapText="1"/>
    </xf>
    <xf numFmtId="0" fontId="2" fillId="8" borderId="1" xfId="0" applyNumberFormat="1" applyFont="1" applyFill="1" applyBorder="1" applyAlignment="1" applyProtection="1">
      <alignment horizontal="left" vertical="top" wrapText="1"/>
    </xf>
    <xf numFmtId="0" fontId="2" fillId="8" borderId="1" xfId="0" applyNumberFormat="1" applyFont="1" applyFill="1" applyBorder="1" applyAlignment="1" applyProtection="1">
      <alignment horizontal="left" vertical="center" wrapText="1"/>
    </xf>
    <xf numFmtId="0" fontId="0" fillId="2" borderId="10" xfId="0" applyFont="1" applyFill="1" applyBorder="1" applyAlignment="1">
      <alignment horizontal="center" vertical="center" wrapText="1"/>
    </xf>
    <xf numFmtId="164" fontId="0" fillId="2" borderId="10" xfId="0" applyNumberFormat="1" applyFont="1" applyFill="1" applyBorder="1" applyAlignment="1">
      <alignment horizontal="center" vertical="center" wrapText="1"/>
    </xf>
    <xf numFmtId="164" fontId="0" fillId="3" borderId="11" xfId="0" applyNumberFormat="1" applyFont="1" applyFill="1" applyBorder="1" applyAlignment="1">
      <alignment horizontal="center" vertical="center" wrapText="1"/>
    </xf>
    <xf numFmtId="0" fontId="2" fillId="0" borderId="1" xfId="2" applyFont="1" applyFill="1" applyBorder="1" applyAlignment="1">
      <alignment wrapText="1"/>
    </xf>
    <xf numFmtId="14" fontId="0" fillId="0" borderId="10" xfId="0" applyNumberFormat="1" applyFill="1" applyBorder="1"/>
    <xf numFmtId="164" fontId="0" fillId="0" borderId="3" xfId="0" applyNumberFormat="1" applyBorder="1"/>
    <xf numFmtId="164" fontId="0" fillId="0" borderId="10" xfId="0" applyNumberFormat="1" applyBorder="1"/>
    <xf numFmtId="164" fontId="0" fillId="3" borderId="12" xfId="0" applyNumberFormat="1" applyFill="1" applyBorder="1"/>
    <xf numFmtId="164" fontId="0" fillId="3" borderId="13" xfId="0" applyNumberFormat="1" applyFill="1" applyBorder="1"/>
    <xf numFmtId="164" fontId="0" fillId="4" borderId="3" xfId="0" applyNumberFormat="1" applyFill="1" applyBorder="1"/>
    <xf numFmtId="164" fontId="0" fillId="4" borderId="10" xfId="0" applyNumberFormat="1" applyFill="1" applyBorder="1"/>
    <xf numFmtId="0" fontId="0" fillId="0" borderId="3" xfId="0" applyBorder="1" applyAlignment="1">
      <alignment horizontal="right"/>
    </xf>
    <xf numFmtId="0" fontId="0" fillId="0" borderId="1" xfId="0" applyBorder="1" applyAlignment="1">
      <alignment horizontal="right"/>
    </xf>
    <xf numFmtId="0" fontId="2" fillId="0" borderId="1" xfId="0" applyFont="1" applyFill="1" applyBorder="1" applyAlignment="1">
      <alignment wrapText="1"/>
    </xf>
    <xf numFmtId="14" fontId="0" fillId="0" borderId="10" xfId="0" applyNumberFormat="1" applyBorder="1"/>
    <xf numFmtId="0" fontId="0" fillId="4" borderId="1" xfId="0" applyFill="1" applyBorder="1"/>
    <xf numFmtId="0" fontId="0" fillId="4" borderId="1" xfId="0" applyFill="1" applyBorder="1" applyAlignment="1">
      <alignment wrapText="1"/>
    </xf>
    <xf numFmtId="14" fontId="0" fillId="4" borderId="10" xfId="0" applyNumberFormat="1" applyFill="1" applyBorder="1"/>
    <xf numFmtId="0" fontId="0" fillId="4" borderId="3" xfId="0" applyFill="1" applyBorder="1" applyAlignment="1">
      <alignment horizontal="right"/>
    </xf>
    <xf numFmtId="0" fontId="0" fillId="4" borderId="1" xfId="0" applyFill="1" applyBorder="1" applyAlignment="1">
      <alignment horizontal="right"/>
    </xf>
    <xf numFmtId="0" fontId="0" fillId="0" borderId="1" xfId="0" applyFill="1" applyBorder="1" applyAlignment="1">
      <alignment wrapText="1"/>
    </xf>
    <xf numFmtId="14" fontId="0" fillId="0" borderId="10" xfId="4" applyNumberFormat="1" applyFont="1" applyFill="1" applyBorder="1"/>
    <xf numFmtId="0" fontId="2" fillId="0" borderId="1" xfId="3" applyFont="1" applyFill="1" applyBorder="1"/>
    <xf numFmtId="0" fontId="2" fillId="0" borderId="1" xfId="3" applyFont="1" applyFill="1" applyBorder="1" applyAlignment="1">
      <alignment wrapText="1"/>
    </xf>
    <xf numFmtId="14" fontId="2" fillId="0" borderId="10" xfId="3" applyNumberFormat="1" applyFont="1" applyFill="1" applyBorder="1"/>
    <xf numFmtId="164" fontId="2" fillId="0" borderId="3" xfId="3" applyNumberFormat="1" applyFont="1" applyFill="1" applyBorder="1"/>
    <xf numFmtId="164" fontId="2" fillId="0" borderId="1" xfId="3" applyNumberFormat="1" applyFont="1" applyFill="1" applyBorder="1"/>
    <xf numFmtId="164" fontId="2" fillId="0" borderId="10" xfId="3" applyNumberFormat="1" applyFont="1" applyFill="1" applyBorder="1"/>
    <xf numFmtId="0" fontId="2" fillId="0" borderId="3" xfId="3" applyFont="1" applyFill="1" applyBorder="1" applyAlignment="1">
      <alignment horizontal="right"/>
    </xf>
    <xf numFmtId="0" fontId="2" fillId="0" borderId="1" xfId="3" applyFont="1" applyFill="1" applyBorder="1" applyAlignment="1">
      <alignment horizontal="right"/>
    </xf>
    <xf numFmtId="0" fontId="2" fillId="4" borderId="1" xfId="1" applyFont="1" applyFill="1" applyBorder="1" applyAlignment="1">
      <alignment wrapText="1"/>
    </xf>
    <xf numFmtId="0" fontId="0" fillId="0" borderId="8" xfId="0" applyBorder="1"/>
    <xf numFmtId="0" fontId="0" fillId="0" borderId="8" xfId="0" applyBorder="1" applyAlignment="1">
      <alignment wrapText="1"/>
    </xf>
    <xf numFmtId="14" fontId="0" fillId="0" borderId="14" xfId="0" applyNumberFormat="1" applyBorder="1"/>
    <xf numFmtId="164" fontId="0" fillId="0" borderId="15" xfId="0" applyNumberFormat="1" applyBorder="1"/>
    <xf numFmtId="164" fontId="0" fillId="0" borderId="8" xfId="0" applyNumberFormat="1" applyBorder="1"/>
    <xf numFmtId="164" fontId="0" fillId="0" borderId="14" xfId="0" applyNumberFormat="1" applyBorder="1"/>
    <xf numFmtId="0" fontId="0" fillId="0" borderId="15" xfId="0" applyBorder="1" applyAlignment="1">
      <alignment horizontal="right"/>
    </xf>
    <xf numFmtId="0" fontId="0" fillId="0" borderId="8" xfId="0" applyBorder="1" applyAlignment="1">
      <alignment horizontal="right"/>
    </xf>
    <xf numFmtId="0" fontId="6" fillId="4" borderId="1" xfId="5" applyFill="1" applyBorder="1"/>
    <xf numFmtId="0" fontId="6" fillId="4" borderId="1" xfId="5" applyFill="1" applyBorder="1" applyAlignment="1">
      <alignment wrapText="1"/>
    </xf>
    <xf numFmtId="14" fontId="6" fillId="4" borderId="10" xfId="5" applyNumberFormat="1" applyFill="1" applyBorder="1"/>
    <xf numFmtId="164" fontId="6" fillId="4" borderId="3" xfId="5" applyNumberFormat="1" applyFill="1" applyBorder="1"/>
    <xf numFmtId="164" fontId="6" fillId="4" borderId="1" xfId="5" applyNumberFormat="1" applyFill="1" applyBorder="1"/>
    <xf numFmtId="164" fontId="6" fillId="4" borderId="10" xfId="5" applyNumberFormat="1" applyFill="1" applyBorder="1"/>
    <xf numFmtId="0" fontId="0" fillId="4" borderId="3" xfId="5" applyFont="1" applyFill="1" applyBorder="1" applyAlignment="1">
      <alignment horizontal="right"/>
    </xf>
    <xf numFmtId="0" fontId="6" fillId="4" borderId="1" xfId="5" applyFill="1" applyBorder="1" applyAlignment="1">
      <alignment horizontal="right"/>
    </xf>
    <xf numFmtId="0" fontId="6" fillId="4" borderId="3" xfId="5" applyFill="1" applyBorder="1"/>
    <xf numFmtId="0" fontId="6" fillId="4" borderId="10" xfId="5" applyFill="1" applyBorder="1"/>
    <xf numFmtId="166" fontId="6" fillId="4" borderId="1" xfId="5" applyNumberFormat="1" applyFill="1" applyBorder="1"/>
    <xf numFmtId="166" fontId="6" fillId="4" borderId="10" xfId="5" applyNumberFormat="1" applyFill="1" applyBorder="1"/>
    <xf numFmtId="0" fontId="6" fillId="4" borderId="3" xfId="5" applyFill="1" applyBorder="1" applyAlignment="1">
      <alignment horizontal="right"/>
    </xf>
    <xf numFmtId="164" fontId="0" fillId="4" borderId="15" xfId="0" applyNumberFormat="1" applyFill="1" applyBorder="1"/>
    <xf numFmtId="164" fontId="0" fillId="4" borderId="8" xfId="0" applyNumberFormat="1" applyFill="1" applyBorder="1"/>
    <xf numFmtId="164" fontId="0" fillId="4" borderId="14" xfId="0" applyNumberFormat="1" applyFill="1" applyBorder="1"/>
    <xf numFmtId="0" fontId="0" fillId="0" borderId="0" xfId="0" applyBorder="1"/>
    <xf numFmtId="164" fontId="0" fillId="0" borderId="0" xfId="0" applyNumberFormat="1" applyBorder="1"/>
    <xf numFmtId="0" fontId="0" fillId="4" borderId="1" xfId="5" applyFont="1" applyFill="1" applyBorder="1" applyAlignment="1">
      <alignment wrapText="1"/>
    </xf>
    <xf numFmtId="0" fontId="2" fillId="0" borderId="1" xfId="2" applyFont="1" applyFill="1" applyBorder="1"/>
    <xf numFmtId="14" fontId="2" fillId="0" borderId="10" xfId="2" applyNumberFormat="1" applyFont="1" applyFill="1" applyBorder="1"/>
    <xf numFmtId="164" fontId="2" fillId="0" borderId="3" xfId="2" applyNumberFormat="1" applyFont="1" applyFill="1" applyBorder="1"/>
    <xf numFmtId="164" fontId="2" fillId="0" borderId="1" xfId="2" applyNumberFormat="1" applyFont="1" applyFill="1" applyBorder="1"/>
    <xf numFmtId="164" fontId="2" fillId="0" borderId="10" xfId="2" applyNumberFormat="1" applyFont="1" applyFill="1" applyBorder="1"/>
    <xf numFmtId="164" fontId="2" fillId="4" borderId="3" xfId="2" applyNumberFormat="1" applyFont="1" applyFill="1" applyBorder="1"/>
    <xf numFmtId="164" fontId="2" fillId="4" borderId="1" xfId="2" applyNumberFormat="1" applyFont="1" applyFill="1" applyBorder="1"/>
    <xf numFmtId="164" fontId="2" fillId="4" borderId="10" xfId="2" applyNumberFormat="1" applyFont="1" applyFill="1" applyBorder="1"/>
    <xf numFmtId="0" fontId="2" fillId="0" borderId="3" xfId="2" applyFont="1" applyFill="1" applyBorder="1" applyAlignment="1">
      <alignment horizontal="right"/>
    </xf>
    <xf numFmtId="0" fontId="2" fillId="0" borderId="1" xfId="2" applyFont="1" applyFill="1" applyBorder="1" applyAlignment="1">
      <alignment horizontal="right"/>
    </xf>
    <xf numFmtId="0" fontId="2" fillId="4" borderId="1" xfId="2" applyFont="1" applyFill="1" applyBorder="1" applyAlignment="1">
      <alignment wrapText="1"/>
    </xf>
    <xf numFmtId="0" fontId="2" fillId="4" borderId="1" xfId="0" applyFont="1" applyFill="1" applyBorder="1" applyAlignment="1">
      <alignment wrapText="1"/>
    </xf>
    <xf numFmtId="14" fontId="2" fillId="4" borderId="10" xfId="0" applyNumberFormat="1" applyFont="1" applyFill="1" applyBorder="1"/>
    <xf numFmtId="0" fontId="2" fillId="4" borderId="3" xfId="0" applyFont="1" applyFill="1" applyBorder="1" applyAlignment="1">
      <alignment horizontal="right"/>
    </xf>
    <xf numFmtId="0" fontId="2" fillId="4" borderId="1" xfId="0" applyFont="1" applyFill="1" applyBorder="1" applyAlignment="1">
      <alignment horizontal="right"/>
    </xf>
    <xf numFmtId="0" fontId="2" fillId="4" borderId="1" xfId="3" applyFont="1" applyFill="1" applyBorder="1"/>
    <xf numFmtId="0" fontId="2" fillId="4" borderId="1" xfId="3" applyFont="1" applyFill="1" applyBorder="1" applyAlignment="1">
      <alignment wrapText="1"/>
    </xf>
    <xf numFmtId="14" fontId="2" fillId="4" borderId="10" xfId="3" applyNumberFormat="1" applyFont="1" applyFill="1" applyBorder="1"/>
    <xf numFmtId="0" fontId="2" fillId="4" borderId="3" xfId="3" applyFont="1" applyFill="1" applyBorder="1" applyAlignment="1">
      <alignment horizontal="right"/>
    </xf>
    <xf numFmtId="0" fontId="2" fillId="4" borderId="1" xfId="3" applyFont="1" applyFill="1" applyBorder="1" applyAlignment="1">
      <alignment horizontal="right"/>
    </xf>
    <xf numFmtId="0" fontId="0" fillId="4" borderId="8" xfId="0" applyFill="1" applyBorder="1" applyAlignment="1">
      <alignment wrapText="1"/>
    </xf>
    <xf numFmtId="164" fontId="2" fillId="0" borderId="3" xfId="0" applyNumberFormat="1" applyFont="1" applyBorder="1"/>
    <xf numFmtId="0" fontId="2" fillId="4" borderId="8" xfId="3" applyFont="1" applyFill="1" applyBorder="1"/>
    <xf numFmtId="0" fontId="2" fillId="4" borderId="8" xfId="3" applyFont="1" applyFill="1" applyBorder="1" applyAlignment="1">
      <alignment wrapText="1"/>
    </xf>
    <xf numFmtId="14" fontId="2" fillId="4" borderId="14" xfId="3" applyNumberFormat="1" applyFont="1" applyFill="1" applyBorder="1"/>
    <xf numFmtId="0" fontId="2" fillId="4" borderId="15" xfId="3" applyFont="1" applyFill="1" applyBorder="1" applyAlignment="1">
      <alignment horizontal="right"/>
    </xf>
    <xf numFmtId="0" fontId="2" fillId="4" borderId="8" xfId="3" applyFont="1" applyFill="1" applyBorder="1" applyAlignment="1">
      <alignment horizontal="right"/>
    </xf>
    <xf numFmtId="14" fontId="0" fillId="4" borderId="10" xfId="4" applyNumberFormat="1" applyFont="1" applyFill="1" applyBorder="1"/>
    <xf numFmtId="164" fontId="2" fillId="4" borderId="3" xfId="0" applyNumberFormat="1" applyFont="1" applyFill="1" applyBorder="1"/>
    <xf numFmtId="0" fontId="0" fillId="0" borderId="16" xfId="0" applyBorder="1" applyAlignment="1">
      <alignment wrapText="1"/>
    </xf>
    <xf numFmtId="0" fontId="9" fillId="4" borderId="1" xfId="3" applyFill="1" applyBorder="1" applyAlignment="1">
      <alignment wrapText="1"/>
    </xf>
    <xf numFmtId="14" fontId="9" fillId="4" borderId="10" xfId="3" applyNumberFormat="1" applyFill="1" applyBorder="1"/>
    <xf numFmtId="0" fontId="9" fillId="4" borderId="3" xfId="3" applyFill="1" applyBorder="1" applyAlignment="1">
      <alignment horizontal="right"/>
    </xf>
    <xf numFmtId="0" fontId="9" fillId="4" borderId="1" xfId="3" applyFill="1" applyBorder="1" applyAlignment="1">
      <alignment horizontal="right"/>
    </xf>
    <xf numFmtId="0" fontId="2" fillId="0" borderId="8" xfId="3" applyFont="1" applyFill="1" applyBorder="1" applyAlignment="1">
      <alignment wrapText="1"/>
    </xf>
    <xf numFmtId="164" fontId="2" fillId="4" borderId="1" xfId="0" applyNumberFormat="1" applyFont="1" applyFill="1" applyBorder="1"/>
    <xf numFmtId="164" fontId="2" fillId="4" borderId="10" xfId="0" applyNumberFormat="1" applyFont="1" applyFill="1" applyBorder="1"/>
    <xf numFmtId="0" fontId="0" fillId="4" borderId="1" xfId="0" applyFill="1" applyBorder="1" applyAlignment="1">
      <alignment horizontal="right" wrapText="1"/>
    </xf>
    <xf numFmtId="0" fontId="2" fillId="0" borderId="10" xfId="0" applyFont="1" applyFill="1" applyBorder="1"/>
    <xf numFmtId="164" fontId="2" fillId="0" borderId="3" xfId="0" applyNumberFormat="1" applyFont="1" applyFill="1" applyBorder="1"/>
    <xf numFmtId="164" fontId="2" fillId="0" borderId="1" xfId="0" applyNumberFormat="1" applyFont="1" applyFill="1" applyBorder="1"/>
    <xf numFmtId="164" fontId="2" fillId="0" borderId="10" xfId="0" applyNumberFormat="1" applyFont="1" applyFill="1" applyBorder="1"/>
    <xf numFmtId="0" fontId="2" fillId="0" borderId="3" xfId="0" applyFont="1" applyFill="1" applyBorder="1" applyAlignment="1">
      <alignment horizontal="right"/>
    </xf>
    <xf numFmtId="0" fontId="2" fillId="0" borderId="1" xfId="0" applyFont="1" applyFill="1" applyBorder="1" applyAlignment="1">
      <alignment horizontal="right"/>
    </xf>
    <xf numFmtId="0" fontId="2" fillId="0" borderId="10" xfId="2" applyFont="1" applyFill="1" applyBorder="1"/>
    <xf numFmtId="0" fontId="0" fillId="0" borderId="10" xfId="0" applyFill="1" applyBorder="1"/>
    <xf numFmtId="0" fontId="0" fillId="0" borderId="10" xfId="0" applyBorder="1"/>
    <xf numFmtId="0" fontId="0" fillId="0" borderId="17" xfId="0" applyBorder="1"/>
    <xf numFmtId="164" fontId="0" fillId="0" borderId="17" xfId="0" applyNumberFormat="1" applyBorder="1"/>
    <xf numFmtId="164" fontId="0" fillId="3" borderId="17" xfId="0" applyNumberFormat="1" applyFill="1" applyBorder="1"/>
    <xf numFmtId="164" fontId="0" fillId="3" borderId="18" xfId="0" applyNumberFormat="1" applyFill="1" applyBorder="1"/>
    <xf numFmtId="0" fontId="1" fillId="5" borderId="19" xfId="0" applyFont="1" applyFill="1" applyBorder="1"/>
    <xf numFmtId="0" fontId="0" fillId="5" borderId="20" xfId="0" applyFill="1" applyBorder="1"/>
    <xf numFmtId="0" fontId="0" fillId="5" borderId="20" xfId="0" applyFill="1" applyBorder="1" applyAlignment="1">
      <alignment wrapText="1"/>
    </xf>
    <xf numFmtId="0" fontId="0" fillId="5" borderId="21" xfId="0" applyFill="1" applyBorder="1"/>
    <xf numFmtId="164" fontId="0" fillId="5" borderId="22" xfId="0" applyNumberFormat="1" applyFill="1" applyBorder="1"/>
    <xf numFmtId="164" fontId="0" fillId="5" borderId="20" xfId="0" applyNumberFormat="1" applyFill="1" applyBorder="1"/>
    <xf numFmtId="164" fontId="0" fillId="5" borderId="21" xfId="0" applyNumberFormat="1" applyFill="1" applyBorder="1"/>
    <xf numFmtId="164" fontId="1" fillId="3" borderId="23" xfId="0" applyNumberFormat="1" applyFont="1" applyFill="1" applyBorder="1"/>
    <xf numFmtId="164" fontId="1" fillId="3" borderId="24" xfId="0" applyNumberFormat="1" applyFont="1" applyFill="1" applyBorder="1"/>
    <xf numFmtId="164" fontId="1" fillId="5" borderId="25" xfId="0" applyNumberFormat="1" applyFont="1" applyFill="1" applyBorder="1"/>
    <xf numFmtId="164" fontId="1" fillId="5" borderId="23" xfId="0" applyNumberFormat="1" applyFont="1" applyFill="1" applyBorder="1"/>
    <xf numFmtId="0" fontId="0" fillId="5" borderId="22" xfId="0" applyFill="1" applyBorder="1"/>
    <xf numFmtId="0" fontId="0" fillId="5" borderId="21" xfId="0" applyFill="1" applyBorder="1" applyAlignment="1">
      <alignment wrapText="1"/>
    </xf>
    <xf numFmtId="167" fontId="0" fillId="0" borderId="0" xfId="0" applyNumberFormat="1"/>
    <xf numFmtId="0" fontId="14" fillId="2" borderId="1" xfId="0" applyFont="1" applyFill="1" applyBorder="1" applyAlignment="1">
      <alignment horizontal="center" vertical="center" wrapText="1"/>
    </xf>
    <xf numFmtId="164" fontId="14" fillId="2" borderId="1" xfId="0" applyNumberFormat="1" applyFont="1" applyFill="1" applyBorder="1" applyAlignment="1">
      <alignment horizontal="center" vertical="center" wrapText="1"/>
    </xf>
    <xf numFmtId="164" fontId="14" fillId="3" borderId="2" xfId="0" applyNumberFormat="1" applyFont="1" applyFill="1" applyBorder="1" applyAlignment="1">
      <alignment horizontal="center" vertical="center" wrapText="1"/>
    </xf>
    <xf numFmtId="168" fontId="14" fillId="2" borderId="1" xfId="0" applyNumberFormat="1" applyFont="1" applyFill="1" applyBorder="1" applyAlignment="1">
      <alignment horizontal="center" vertical="center" wrapText="1"/>
    </xf>
    <xf numFmtId="168" fontId="14" fillId="3" borderId="2" xfId="0" applyNumberFormat="1" applyFont="1" applyFill="1" applyBorder="1" applyAlignment="1">
      <alignment horizontal="center" vertical="center" wrapText="1"/>
    </xf>
    <xf numFmtId="164" fontId="14" fillId="2" borderId="3" xfId="0" applyNumberFormat="1" applyFont="1" applyFill="1" applyBorder="1" applyAlignment="1">
      <alignment horizontal="center" vertical="center" wrapText="1"/>
    </xf>
    <xf numFmtId="0" fontId="14" fillId="0" borderId="0" xfId="0" applyFont="1"/>
    <xf numFmtId="0" fontId="14" fillId="0" borderId="0" xfId="0" applyFont="1" applyFill="1"/>
    <xf numFmtId="0" fontId="14" fillId="0" borderId="1" xfId="0" applyFont="1" applyFill="1" applyBorder="1"/>
    <xf numFmtId="0" fontId="15" fillId="0" borderId="1" xfId="0" applyFont="1" applyFill="1" applyBorder="1" applyAlignment="1">
      <alignment horizontal="center"/>
    </xf>
    <xf numFmtId="0" fontId="14" fillId="0" borderId="1" xfId="0" applyFont="1" applyFill="1" applyBorder="1" applyAlignment="1">
      <alignment horizontal="left"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167" fontId="14" fillId="0" borderId="1" xfId="0" applyNumberFormat="1" applyFont="1" applyFill="1" applyBorder="1" applyAlignment="1">
      <alignment horizontal="center" vertical="center" wrapText="1"/>
    </xf>
    <xf numFmtId="167" fontId="14" fillId="0" borderId="1" xfId="0" applyNumberFormat="1" applyFont="1" applyFill="1" applyBorder="1" applyAlignment="1">
      <alignment horizontal="center" vertical="center"/>
    </xf>
    <xf numFmtId="164" fontId="14" fillId="0" borderId="1" xfId="0" applyNumberFormat="1" applyFont="1" applyFill="1" applyBorder="1"/>
    <xf numFmtId="168" fontId="14" fillId="0" borderId="1" xfId="0" applyNumberFormat="1" applyFont="1" applyFill="1" applyBorder="1"/>
    <xf numFmtId="0" fontId="14" fillId="0" borderId="1" xfId="0" applyFont="1" applyFill="1" applyBorder="1" applyAlignment="1">
      <alignment horizontal="left"/>
    </xf>
    <xf numFmtId="0" fontId="14" fillId="0" borderId="3" xfId="0" applyFont="1" applyFill="1" applyBorder="1" applyAlignment="1">
      <alignment wrapText="1"/>
    </xf>
    <xf numFmtId="167" fontId="15" fillId="0" borderId="1" xfId="6" applyNumberFormat="1" applyFont="1" applyFill="1" applyBorder="1" applyAlignment="1">
      <alignment horizontal="center" vertical="center"/>
    </xf>
    <xf numFmtId="3" fontId="14" fillId="0" borderId="1" xfId="0" applyNumberFormat="1" applyFont="1" applyFill="1" applyBorder="1" applyAlignment="1">
      <alignment horizontal="center" vertical="center" wrapText="1"/>
    </xf>
    <xf numFmtId="0" fontId="14" fillId="0" borderId="3" xfId="0" applyFont="1" applyFill="1" applyBorder="1" applyAlignment="1">
      <alignment horizontal="left" vertical="center"/>
    </xf>
    <xf numFmtId="1" fontId="14" fillId="0" borderId="1" xfId="0" applyNumberFormat="1" applyFont="1" applyFill="1" applyBorder="1" applyAlignment="1">
      <alignment horizontal="center" vertical="center" wrapText="1"/>
    </xf>
    <xf numFmtId="166" fontId="14" fillId="0" borderId="1" xfId="0" applyNumberFormat="1" applyFont="1" applyFill="1" applyBorder="1" applyAlignment="1">
      <alignment horizontal="center" vertical="center" wrapText="1"/>
    </xf>
    <xf numFmtId="0" fontId="14" fillId="0" borderId="3" xfId="0" applyFont="1" applyFill="1" applyBorder="1" applyAlignment="1">
      <alignment horizontal="center" vertical="center"/>
    </xf>
    <xf numFmtId="0" fontId="14" fillId="0" borderId="0" xfId="0" applyFont="1" applyFill="1" applyBorder="1" applyAlignment="1">
      <alignment horizontal="left" vertical="center"/>
    </xf>
    <xf numFmtId="168" fontId="14" fillId="0" borderId="1" xfId="0" applyNumberFormat="1" applyFont="1" applyFill="1" applyBorder="1" applyAlignment="1">
      <alignment horizontal="center" vertical="center" wrapText="1"/>
    </xf>
    <xf numFmtId="0" fontId="14" fillId="0" borderId="1" xfId="0" applyFont="1" applyFill="1" applyBorder="1" applyAlignment="1">
      <alignment horizontal="left" wrapText="1"/>
    </xf>
    <xf numFmtId="0" fontId="15" fillId="0" borderId="1" xfId="6" applyFont="1" applyFill="1" applyBorder="1"/>
    <xf numFmtId="0" fontId="14" fillId="0" borderId="1" xfId="0" applyFont="1" applyFill="1" applyBorder="1" applyAlignment="1">
      <alignment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xf>
    <xf numFmtId="0" fontId="14" fillId="0" borderId="4" xfId="0" applyFont="1" applyFill="1" applyBorder="1" applyAlignment="1">
      <alignment horizontal="center" vertical="center"/>
    </xf>
    <xf numFmtId="0" fontId="15" fillId="0" borderId="26" xfId="0" applyFont="1" applyFill="1" applyBorder="1" applyAlignment="1">
      <alignment horizontal="center"/>
    </xf>
    <xf numFmtId="0" fontId="14" fillId="0" borderId="26" xfId="0" applyFont="1" applyFill="1" applyBorder="1" applyAlignment="1">
      <alignment horizontal="left" vertical="center"/>
    </xf>
    <xf numFmtId="1" fontId="14" fillId="0" borderId="1" xfId="0" applyNumberFormat="1" applyFont="1" applyFill="1" applyBorder="1" applyAlignment="1">
      <alignment horizontal="center" vertical="center"/>
    </xf>
    <xf numFmtId="0" fontId="14" fillId="0" borderId="26" xfId="0" applyFont="1" applyFill="1" applyBorder="1" applyAlignment="1">
      <alignment horizontal="left" wrapText="1"/>
    </xf>
    <xf numFmtId="0" fontId="15" fillId="0" borderId="3" xfId="6" applyFont="1" applyFill="1" applyBorder="1"/>
    <xf numFmtId="14" fontId="14"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4" fillId="0" borderId="26" xfId="0" applyFont="1" applyFill="1" applyBorder="1" applyAlignment="1">
      <alignment horizontal="center" vertical="center" wrapText="1"/>
    </xf>
    <xf numFmtId="1" fontId="14" fillId="0" borderId="26" xfId="0" applyNumberFormat="1" applyFont="1" applyFill="1" applyBorder="1" applyAlignment="1">
      <alignment horizontal="center" vertical="center" wrapText="1"/>
    </xf>
    <xf numFmtId="0" fontId="15" fillId="0" borderId="27" xfId="6" applyFont="1" applyFill="1" applyBorder="1"/>
    <xf numFmtId="0" fontId="14" fillId="0" borderId="26" xfId="0" applyFont="1" applyFill="1" applyBorder="1"/>
    <xf numFmtId="0" fontId="14" fillId="0" borderId="26" xfId="0" applyFont="1" applyFill="1" applyBorder="1" applyAlignment="1">
      <alignment horizontal="center" vertical="center"/>
    </xf>
    <xf numFmtId="1" fontId="14" fillId="0" borderId="26" xfId="0" applyNumberFormat="1" applyFont="1" applyFill="1" applyBorder="1" applyAlignment="1">
      <alignment horizontal="center" vertical="center"/>
    </xf>
    <xf numFmtId="0" fontId="15" fillId="0" borderId="1" xfId="6"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lignment vertical="center"/>
    </xf>
    <xf numFmtId="0" fontId="14" fillId="0" borderId="3" xfId="0" applyFont="1" applyFill="1" applyBorder="1"/>
    <xf numFmtId="0" fontId="16" fillId="0" borderId="1" xfId="0" applyFont="1" applyFill="1" applyBorder="1" applyAlignment="1">
      <alignment horizontal="center" vertical="center"/>
    </xf>
    <xf numFmtId="0" fontId="15" fillId="0" borderId="1" xfId="6" applyFont="1" applyFill="1" applyBorder="1" applyAlignment="1">
      <alignment horizontal="left"/>
    </xf>
    <xf numFmtId="168" fontId="15" fillId="0" borderId="1" xfId="0" applyNumberFormat="1" applyFont="1" applyFill="1" applyBorder="1" applyAlignment="1">
      <alignment horizontal="center" vertical="center"/>
    </xf>
    <xf numFmtId="168" fontId="14" fillId="0" borderId="1" xfId="0" applyNumberFormat="1" applyFont="1" applyFill="1" applyBorder="1" applyAlignment="1">
      <alignment horizontal="center" vertical="center"/>
    </xf>
    <xf numFmtId="0" fontId="15" fillId="0" borderId="26" xfId="6" applyFont="1" applyFill="1" applyBorder="1" applyAlignment="1">
      <alignment horizontal="left"/>
    </xf>
    <xf numFmtId="0" fontId="14" fillId="0" borderId="27" xfId="0" applyFont="1" applyFill="1" applyBorder="1" applyAlignment="1">
      <alignment horizontal="left" vertical="center"/>
    </xf>
    <xf numFmtId="0" fontId="15" fillId="0" borderId="1" xfId="6" applyNumberFormat="1" applyFont="1" applyFill="1" applyBorder="1" applyAlignment="1">
      <alignment horizontal="center"/>
    </xf>
    <xf numFmtId="0" fontId="15" fillId="0" borderId="0" xfId="6" applyFont="1" applyFill="1" applyBorder="1" applyAlignment="1">
      <alignment horizontal="left"/>
    </xf>
    <xf numFmtId="0" fontId="15" fillId="0" borderId="4" xfId="0" applyFont="1" applyFill="1" applyBorder="1" applyAlignment="1">
      <alignment horizontal="center"/>
    </xf>
    <xf numFmtId="0" fontId="14" fillId="0" borderId="4" xfId="0" applyFont="1" applyFill="1" applyBorder="1"/>
    <xf numFmtId="0" fontId="15" fillId="0" borderId="26" xfId="0" applyFont="1" applyFill="1" applyBorder="1" applyAlignment="1">
      <alignment horizontal="center" vertical="center"/>
    </xf>
    <xf numFmtId="0" fontId="15" fillId="0" borderId="26" xfId="6" applyFont="1" applyFill="1" applyBorder="1" applyAlignment="1">
      <alignment horizontal="center" vertical="center"/>
    </xf>
    <xf numFmtId="0" fontId="14" fillId="0" borderId="27" xfId="0" applyFont="1" applyFill="1" applyBorder="1"/>
    <xf numFmtId="0" fontId="15" fillId="0" borderId="4" xfId="6" applyNumberFormat="1" applyFont="1" applyFill="1" applyBorder="1" applyAlignment="1">
      <alignment horizontal="center"/>
    </xf>
    <xf numFmtId="0" fontId="15" fillId="0" borderId="26" xfId="6" applyNumberFormat="1" applyFont="1" applyFill="1" applyBorder="1" applyAlignment="1">
      <alignment horizontal="center"/>
    </xf>
    <xf numFmtId="0" fontId="15" fillId="0" borderId="26" xfId="6" applyFont="1" applyFill="1" applyBorder="1"/>
    <xf numFmtId="167" fontId="15" fillId="0" borderId="1" xfId="0" applyNumberFormat="1" applyFont="1" applyFill="1" applyBorder="1" applyAlignment="1">
      <alignment horizontal="center" vertical="center" wrapText="1"/>
    </xf>
    <xf numFmtId="167" fontId="15" fillId="0" borderId="1" xfId="0" applyNumberFormat="1" applyFont="1" applyFill="1" applyBorder="1" applyAlignment="1">
      <alignment horizontal="center" vertical="center"/>
    </xf>
    <xf numFmtId="0" fontId="15" fillId="0" borderId="4" xfId="6" applyFont="1" applyFill="1" applyBorder="1" applyAlignment="1">
      <alignment horizontal="left"/>
    </xf>
    <xf numFmtId="0" fontId="14" fillId="0" borderId="26" xfId="6" applyFont="1" applyFill="1" applyBorder="1" applyAlignment="1">
      <alignment horizontal="center" vertical="center"/>
    </xf>
    <xf numFmtId="0" fontId="14" fillId="0" borderId="1" xfId="6" applyFont="1" applyFill="1" applyBorder="1" applyAlignment="1">
      <alignment horizontal="center" vertical="center"/>
    </xf>
    <xf numFmtId="0" fontId="14" fillId="0" borderId="26" xfId="0" applyFont="1" applyFill="1" applyBorder="1" applyAlignment="1">
      <alignment wrapText="1"/>
    </xf>
    <xf numFmtId="0" fontId="14" fillId="0" borderId="4" xfId="0" applyFont="1" applyFill="1" applyBorder="1" applyAlignment="1">
      <alignment horizontal="left" wrapText="1"/>
    </xf>
    <xf numFmtId="0" fontId="14" fillId="0" borderId="28" xfId="0" applyFont="1" applyFill="1" applyBorder="1"/>
    <xf numFmtId="0" fontId="14" fillId="0" borderId="1" xfId="6" applyFont="1" applyFill="1" applyBorder="1" applyAlignment="1">
      <alignment horizontal="left"/>
    </xf>
    <xf numFmtId="0" fontId="15" fillId="0" borderId="1" xfId="6" applyNumberFormat="1" applyFont="1" applyFill="1" applyBorder="1" applyAlignment="1">
      <alignment horizontal="center" vertical="center"/>
    </xf>
    <xf numFmtId="0" fontId="14" fillId="0" borderId="1" xfId="6" applyFont="1" applyFill="1" applyBorder="1" applyAlignment="1">
      <alignment horizontal="left" vertical="center"/>
    </xf>
    <xf numFmtId="0" fontId="15" fillId="0" borderId="4" xfId="0" applyFont="1" applyFill="1" applyBorder="1" applyAlignment="1">
      <alignment horizontal="center" vertical="center"/>
    </xf>
    <xf numFmtId="0" fontId="15" fillId="0" borderId="26" xfId="6" applyNumberFormat="1" applyFont="1" applyFill="1" applyBorder="1" applyAlignment="1">
      <alignment horizontal="center" vertical="center"/>
    </xf>
    <xf numFmtId="0" fontId="14" fillId="0" borderId="26" xfId="6" applyFont="1" applyFill="1" applyBorder="1" applyAlignment="1">
      <alignment horizontal="left" vertical="center"/>
    </xf>
    <xf numFmtId="14" fontId="14" fillId="0" borderId="26" xfId="0" applyNumberFormat="1" applyFont="1" applyFill="1" applyBorder="1" applyAlignment="1">
      <alignment horizontal="center" vertical="center"/>
    </xf>
    <xf numFmtId="0" fontId="15" fillId="0" borderId="4" xfId="6" applyNumberFormat="1" applyFont="1" applyFill="1" applyBorder="1" applyAlignment="1">
      <alignment horizontal="center" vertical="center"/>
    </xf>
    <xf numFmtId="14" fontId="14" fillId="0" borderId="4" xfId="0" applyNumberFormat="1" applyFont="1" applyFill="1" applyBorder="1" applyAlignment="1">
      <alignment horizontal="center" vertical="center"/>
    </xf>
    <xf numFmtId="0" fontId="15" fillId="0" borderId="4" xfId="6" applyFont="1" applyFill="1" applyBorder="1" applyAlignment="1">
      <alignment horizontal="center" vertical="center"/>
    </xf>
    <xf numFmtId="0" fontId="14" fillId="0" borderId="4" xfId="6" applyFont="1" applyFill="1" applyBorder="1" applyAlignment="1">
      <alignment horizontal="center" vertical="center"/>
    </xf>
    <xf numFmtId="0" fontId="14" fillId="0" borderId="4" xfId="6" applyFont="1" applyFill="1" applyBorder="1" applyAlignment="1">
      <alignment horizontal="left" vertical="center"/>
    </xf>
    <xf numFmtId="0" fontId="14" fillId="0" borderId="28" xfId="0" applyFont="1" applyFill="1" applyBorder="1" applyAlignment="1">
      <alignment horizontal="left" vertical="center"/>
    </xf>
    <xf numFmtId="1" fontId="14" fillId="0" borderId="4" xfId="0" applyNumberFormat="1" applyFont="1" applyFill="1" applyBorder="1" applyAlignment="1">
      <alignment horizontal="center" vertical="center" wrapText="1"/>
    </xf>
    <xf numFmtId="0" fontId="14" fillId="0" borderId="4" xfId="0" applyFont="1" applyFill="1" applyBorder="1" applyAlignment="1">
      <alignment horizontal="left"/>
    </xf>
    <xf numFmtId="0" fontId="15" fillId="0" borderId="1" xfId="0" applyFont="1" applyFill="1" applyBorder="1" applyAlignment="1">
      <alignment horizontal="left" vertical="center"/>
    </xf>
    <xf numFmtId="0" fontId="15" fillId="0" borderId="1" xfId="0" applyFont="1" applyFill="1" applyBorder="1" applyAlignment="1">
      <alignment horizontal="center" vertical="center" wrapText="1"/>
    </xf>
    <xf numFmtId="0" fontId="15" fillId="0" borderId="1" xfId="6" applyFont="1" applyFill="1" applyBorder="1" applyAlignment="1">
      <alignment horizontal="left" vertical="center"/>
    </xf>
    <xf numFmtId="0" fontId="18" fillId="0" borderId="1" xfId="7" applyFont="1" applyFill="1" applyBorder="1"/>
    <xf numFmtId="0" fontId="15" fillId="0" borderId="26" xfId="0" applyFont="1" applyFill="1" applyBorder="1" applyAlignment="1">
      <alignment horizontal="center" vertical="center" wrapText="1"/>
    </xf>
    <xf numFmtId="0" fontId="14" fillId="0" borderId="27" xfId="0" applyFont="1" applyFill="1" applyBorder="1" applyAlignment="1">
      <alignment wrapText="1"/>
    </xf>
    <xf numFmtId="0" fontId="14" fillId="0" borderId="4" xfId="6" applyFont="1" applyFill="1" applyBorder="1" applyAlignment="1">
      <alignment horizontal="left" vertical="center" shrinkToFit="1"/>
    </xf>
    <xf numFmtId="1" fontId="14" fillId="0" borderId="4" xfId="0" applyNumberFormat="1" applyFont="1" applyFill="1" applyBorder="1" applyAlignment="1">
      <alignment horizontal="center" vertical="center"/>
    </xf>
    <xf numFmtId="0" fontId="15" fillId="0" borderId="1" xfId="0" applyFont="1" applyFill="1" applyBorder="1" applyAlignment="1">
      <alignment horizontal="left" wrapText="1"/>
    </xf>
    <xf numFmtId="0" fontId="15" fillId="0" borderId="3" xfId="0" applyFont="1" applyFill="1" applyBorder="1"/>
    <xf numFmtId="0" fontId="14" fillId="0" borderId="3" xfId="0" applyFont="1" applyFill="1" applyBorder="1" applyAlignment="1">
      <alignment horizontal="left"/>
    </xf>
    <xf numFmtId="0" fontId="15" fillId="0" borderId="1" xfId="0" applyFont="1" applyFill="1" applyBorder="1"/>
    <xf numFmtId="2" fontId="19" fillId="0" borderId="1" xfId="0" applyNumberFormat="1" applyFont="1" applyFill="1" applyBorder="1"/>
    <xf numFmtId="0" fontId="15" fillId="0" borderId="4" xfId="0" applyFont="1" applyFill="1" applyBorder="1" applyAlignment="1">
      <alignment horizontal="left" vertical="center"/>
    </xf>
    <xf numFmtId="0" fontId="14" fillId="0" borderId="26" xfId="0" applyFont="1" applyFill="1" applyBorder="1" applyAlignment="1">
      <alignment horizontal="left" vertical="center" wrapText="1"/>
    </xf>
    <xf numFmtId="0" fontId="15" fillId="0" borderId="26" xfId="0" applyFont="1" applyFill="1" applyBorder="1" applyAlignment="1">
      <alignment horizontal="left" vertical="center"/>
    </xf>
    <xf numFmtId="0" fontId="15" fillId="0" borderId="26" xfId="0" applyFont="1" applyFill="1" applyBorder="1" applyAlignment="1">
      <alignment horizontal="left" wrapText="1"/>
    </xf>
    <xf numFmtId="0" fontId="15" fillId="0" borderId="27" xfId="0" applyFont="1" applyFill="1" applyBorder="1"/>
    <xf numFmtId="0" fontId="14" fillId="0" borderId="26" xfId="0" applyFont="1" applyFill="1" applyBorder="1" applyAlignment="1">
      <alignment horizontal="center"/>
    </xf>
    <xf numFmtId="0" fontId="14" fillId="0" borderId="4" xfId="0" applyFont="1" applyFill="1" applyBorder="1" applyAlignment="1">
      <alignment horizontal="left" vertical="center" wrapText="1"/>
    </xf>
    <xf numFmtId="14" fontId="14" fillId="0" borderId="26" xfId="0" applyNumberFormat="1" applyFont="1" applyFill="1" applyBorder="1" applyAlignment="1">
      <alignment horizontal="left" vertical="center" wrapText="1"/>
    </xf>
    <xf numFmtId="14" fontId="14" fillId="0" borderId="28" xfId="0" applyNumberFormat="1" applyFont="1" applyFill="1" applyBorder="1" applyAlignment="1">
      <alignment horizontal="left" vertical="center" wrapText="1"/>
    </xf>
    <xf numFmtId="14" fontId="14" fillId="0" borderId="3" xfId="0" applyNumberFormat="1" applyFont="1" applyFill="1" applyBorder="1" applyAlignment="1">
      <alignment horizontal="center" vertical="center" wrapText="1"/>
    </xf>
    <xf numFmtId="0" fontId="15" fillId="0" borderId="1" xfId="6" applyFont="1" applyFill="1" applyBorder="1" applyAlignment="1">
      <alignment horizontal="left" vertical="center" wrapText="1"/>
    </xf>
    <xf numFmtId="1" fontId="15" fillId="0" borderId="1" xfId="0" applyNumberFormat="1" applyFont="1" applyFill="1" applyBorder="1" applyAlignment="1">
      <alignment horizontal="center" vertical="center"/>
    </xf>
    <xf numFmtId="14" fontId="14" fillId="0" borderId="1" xfId="0" applyNumberFormat="1" applyFont="1" applyFill="1" applyBorder="1" applyAlignment="1">
      <alignment horizontal="left" vertical="center" wrapText="1"/>
    </xf>
    <xf numFmtId="164" fontId="14" fillId="0" borderId="0" xfId="0" applyNumberFormat="1" applyFont="1" applyFill="1"/>
    <xf numFmtId="168" fontId="14" fillId="0" borderId="0" xfId="0" applyNumberFormat="1" applyFont="1" applyFill="1"/>
    <xf numFmtId="164" fontId="14" fillId="0" borderId="0" xfId="0" applyNumberFormat="1" applyFont="1"/>
    <xf numFmtId="168" fontId="14" fillId="0" borderId="0" xfId="0" applyNumberFormat="1" applyFont="1"/>
    <xf numFmtId="0" fontId="14" fillId="0" borderId="0" xfId="0" applyFont="1" applyAlignment="1">
      <alignment wrapText="1"/>
    </xf>
    <xf numFmtId="164" fontId="14" fillId="3" borderId="0" xfId="0" applyNumberFormat="1" applyFont="1" applyFill="1"/>
  </cellXfs>
  <cellStyles count="8">
    <cellStyle name="20% - Accent5" xfId="5" builtinId="46"/>
    <cellStyle name="Bad" xfId="1" builtinId="27"/>
    <cellStyle name="Input" xfId="3" builtinId="20"/>
    <cellStyle name="Neutral" xfId="2" builtinId="28"/>
    <cellStyle name="Normal" xfId="0" builtinId="0"/>
    <cellStyle name="Normal 2" xfId="6"/>
    <cellStyle name="Normal 3" xfId="7"/>
    <cellStyle name="Note" xfId="4" builtinId="10"/>
  </cellStyles>
  <dxfs count="38">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ill>
        <patternFill>
          <bgColor rgb="FF92D050"/>
        </patternFill>
      </fill>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ill>
        <patternFill>
          <bgColor rgb="FF92D050"/>
        </patternFill>
      </fill>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75"/>
  <sheetViews>
    <sheetView zoomScale="40" zoomScaleNormal="40" workbookViewId="0">
      <pane ySplit="1" topLeftCell="A292" activePane="bottomLeft" state="frozen"/>
      <selection pane="bottomLeft" activeCell="A344" sqref="A344"/>
    </sheetView>
  </sheetViews>
  <sheetFormatPr defaultColWidth="8.85546875" defaultRowHeight="18.75"/>
  <cols>
    <col min="1" max="1" width="10.42578125" style="186" customWidth="1"/>
    <col min="2" max="2" width="21" style="186" bestFit="1" customWidth="1"/>
    <col min="3" max="3" width="21" style="186" customWidth="1"/>
    <col min="4" max="4" width="49.42578125" style="299" customWidth="1"/>
    <col min="5" max="5" width="13.7109375" style="299" customWidth="1"/>
    <col min="6" max="6" width="26.28515625" style="299" customWidth="1"/>
    <col min="7" max="7" width="17.42578125" style="186" customWidth="1"/>
    <col min="8" max="8" width="13.5703125" style="297" customWidth="1"/>
    <col min="9" max="9" width="14.42578125" style="297" customWidth="1"/>
    <col min="10" max="10" width="13.5703125" style="297" customWidth="1"/>
    <col min="11" max="11" width="14.42578125" style="297" customWidth="1"/>
    <col min="12" max="12" width="13.42578125" style="297" customWidth="1"/>
    <col min="13" max="13" width="14.42578125" style="297" customWidth="1"/>
    <col min="14" max="14" width="18" style="300" customWidth="1"/>
    <col min="15" max="15" width="13.5703125" style="297" customWidth="1"/>
    <col min="16" max="16" width="14.42578125" style="297" customWidth="1"/>
    <col min="17" max="17" width="13.5703125" style="297" customWidth="1"/>
    <col min="18" max="18" width="15.42578125" style="297" customWidth="1"/>
    <col min="19" max="19" width="13.42578125" style="297" customWidth="1"/>
    <col min="20" max="28" width="14.42578125" style="297" customWidth="1"/>
    <col min="29" max="35" width="14.42578125" style="298" customWidth="1"/>
    <col min="36" max="42" width="14.42578125" style="297" customWidth="1"/>
    <col min="43" max="43" width="11.85546875" style="297" customWidth="1"/>
    <col min="44" max="44" width="11.140625" style="297" customWidth="1"/>
    <col min="45" max="48" width="10.5703125" style="297" customWidth="1"/>
    <col min="49" max="49" width="12.42578125" style="300" customWidth="1"/>
    <col min="50" max="50" width="15.140625" style="186" bestFit="1" customWidth="1"/>
    <col min="51" max="51" width="14.42578125" style="186" customWidth="1"/>
    <col min="52" max="52" width="55.140625" style="299" customWidth="1"/>
    <col min="53" max="53" width="35" style="299" customWidth="1"/>
    <col min="54" max="16384" width="8.85546875" style="186"/>
  </cols>
  <sheetData>
    <row r="1" spans="1:53" ht="170.45" customHeight="1">
      <c r="A1" s="180" t="s">
        <v>0</v>
      </c>
      <c r="B1" s="180" t="s">
        <v>1</v>
      </c>
      <c r="C1" s="180" t="s">
        <v>30</v>
      </c>
      <c r="D1" s="180" t="s">
        <v>2</v>
      </c>
      <c r="E1" s="180" t="s">
        <v>12</v>
      </c>
      <c r="F1" s="180" t="s">
        <v>3</v>
      </c>
      <c r="G1" s="180" t="s">
        <v>16</v>
      </c>
      <c r="H1" s="181" t="s">
        <v>4</v>
      </c>
      <c r="I1" s="181" t="s">
        <v>803</v>
      </c>
      <c r="J1" s="181" t="s">
        <v>804</v>
      </c>
      <c r="K1" s="181" t="s">
        <v>5</v>
      </c>
      <c r="L1" s="181" t="s">
        <v>805</v>
      </c>
      <c r="M1" s="181" t="s">
        <v>806</v>
      </c>
      <c r="N1" s="182" t="s">
        <v>6</v>
      </c>
      <c r="O1" s="181" t="s">
        <v>24</v>
      </c>
      <c r="P1" s="181" t="s">
        <v>807</v>
      </c>
      <c r="Q1" s="181" t="s">
        <v>808</v>
      </c>
      <c r="R1" s="181" t="s">
        <v>25</v>
      </c>
      <c r="S1" s="181" t="s">
        <v>809</v>
      </c>
      <c r="T1" s="181" t="s">
        <v>810</v>
      </c>
      <c r="U1" s="182" t="s">
        <v>26</v>
      </c>
      <c r="V1" s="181" t="s">
        <v>18</v>
      </c>
      <c r="W1" s="181" t="s">
        <v>811</v>
      </c>
      <c r="X1" s="181" t="s">
        <v>812</v>
      </c>
      <c r="Y1" s="181" t="s">
        <v>19</v>
      </c>
      <c r="Z1" s="181" t="s">
        <v>813</v>
      </c>
      <c r="AA1" s="181" t="s">
        <v>814</v>
      </c>
      <c r="AB1" s="182" t="s">
        <v>20</v>
      </c>
      <c r="AC1" s="183" t="s">
        <v>21</v>
      </c>
      <c r="AD1" s="183" t="s">
        <v>815</v>
      </c>
      <c r="AE1" s="183" t="s">
        <v>816</v>
      </c>
      <c r="AF1" s="183" t="s">
        <v>22</v>
      </c>
      <c r="AG1" s="183" t="s">
        <v>817</v>
      </c>
      <c r="AH1" s="183" t="s">
        <v>818</v>
      </c>
      <c r="AI1" s="184" t="s">
        <v>23</v>
      </c>
      <c r="AJ1" s="181" t="s">
        <v>27</v>
      </c>
      <c r="AK1" s="181" t="s">
        <v>819</v>
      </c>
      <c r="AL1" s="181" t="s">
        <v>820</v>
      </c>
      <c r="AM1" s="181" t="s">
        <v>28</v>
      </c>
      <c r="AN1" s="181" t="s">
        <v>821</v>
      </c>
      <c r="AO1" s="181" t="s">
        <v>822</v>
      </c>
      <c r="AP1" s="182" t="s">
        <v>29</v>
      </c>
      <c r="AQ1" s="181" t="s">
        <v>7</v>
      </c>
      <c r="AR1" s="181" t="s">
        <v>823</v>
      </c>
      <c r="AS1" s="181" t="s">
        <v>824</v>
      </c>
      <c r="AT1" s="181" t="s">
        <v>8</v>
      </c>
      <c r="AU1" s="181" t="s">
        <v>825</v>
      </c>
      <c r="AV1" s="181" t="s">
        <v>826</v>
      </c>
      <c r="AW1" s="182" t="s">
        <v>9</v>
      </c>
      <c r="AX1" s="185" t="s">
        <v>10</v>
      </c>
      <c r="AY1" s="181" t="s">
        <v>11</v>
      </c>
      <c r="AZ1" s="180" t="s">
        <v>13</v>
      </c>
      <c r="BA1" s="180" t="s">
        <v>14</v>
      </c>
    </row>
    <row r="2" spans="1:53" s="187" customFormat="1">
      <c r="A2" s="188" t="s">
        <v>827</v>
      </c>
      <c r="B2" s="189">
        <v>143</v>
      </c>
      <c r="C2" s="189">
        <v>143</v>
      </c>
      <c r="D2" s="190" t="s">
        <v>828</v>
      </c>
      <c r="E2" s="191" t="s">
        <v>15</v>
      </c>
      <c r="F2" s="192" t="s">
        <v>58</v>
      </c>
      <c r="G2" s="192"/>
      <c r="H2" s="193">
        <f t="shared" ref="H2:H7" si="0">I2*365</f>
        <v>1233.846</v>
      </c>
      <c r="I2" s="194">
        <v>3.3803999999999998</v>
      </c>
      <c r="J2" s="194">
        <f t="shared" ref="J2:J24" si="1">I2*30</f>
        <v>101.41199999999999</v>
      </c>
      <c r="K2" s="194">
        <f t="shared" ref="K2:K24" si="2">L2*365</f>
        <v>1233.846</v>
      </c>
      <c r="L2" s="194">
        <v>3.3803999999999998</v>
      </c>
      <c r="M2" s="194">
        <f t="shared" ref="M2:M39" si="3">L2*30</f>
        <v>101.41199999999999</v>
      </c>
      <c r="N2" s="194">
        <f t="shared" ref="N2:N65" si="4">L2-I2</f>
        <v>0</v>
      </c>
      <c r="O2" s="195"/>
      <c r="P2" s="195"/>
      <c r="Q2" s="195"/>
      <c r="R2" s="195"/>
      <c r="S2" s="195"/>
      <c r="T2" s="195"/>
      <c r="U2" s="195"/>
      <c r="V2" s="195"/>
      <c r="W2" s="195"/>
      <c r="X2" s="195"/>
      <c r="Y2" s="195"/>
      <c r="Z2" s="195"/>
      <c r="AA2" s="195"/>
      <c r="AB2" s="195"/>
      <c r="AC2" s="196"/>
      <c r="AD2" s="196"/>
      <c r="AE2" s="196"/>
      <c r="AF2" s="196"/>
      <c r="AG2" s="196"/>
      <c r="AH2" s="196"/>
      <c r="AI2" s="196"/>
      <c r="AJ2" s="195"/>
      <c r="AK2" s="195"/>
      <c r="AL2" s="195"/>
      <c r="AM2" s="195"/>
      <c r="AN2" s="195"/>
      <c r="AO2" s="195"/>
      <c r="AP2" s="195"/>
      <c r="AQ2" s="195"/>
      <c r="AR2" s="195"/>
      <c r="AS2" s="195"/>
      <c r="AT2" s="195"/>
      <c r="AU2" s="195"/>
      <c r="AV2" s="195"/>
      <c r="AW2" s="195"/>
      <c r="AX2" s="191" t="s">
        <v>482</v>
      </c>
      <c r="AY2" s="191" t="s">
        <v>482</v>
      </c>
      <c r="AZ2" s="197" t="s">
        <v>829</v>
      </c>
      <c r="BA2" s="198" t="s">
        <v>830</v>
      </c>
    </row>
    <row r="3" spans="1:53" s="187" customFormat="1">
      <c r="A3" s="188" t="s">
        <v>827</v>
      </c>
      <c r="B3" s="192">
        <v>392</v>
      </c>
      <c r="C3" s="192">
        <v>392</v>
      </c>
      <c r="D3" s="190" t="s">
        <v>831</v>
      </c>
      <c r="E3" s="191" t="s">
        <v>15</v>
      </c>
      <c r="F3" s="191" t="s">
        <v>59</v>
      </c>
      <c r="G3" s="191"/>
      <c r="H3" s="193">
        <f t="shared" si="0"/>
        <v>16.826499999999999</v>
      </c>
      <c r="I3" s="199">
        <v>4.6100000000000002E-2</v>
      </c>
      <c r="J3" s="194">
        <f t="shared" si="1"/>
        <v>1.383</v>
      </c>
      <c r="K3" s="194">
        <f t="shared" si="2"/>
        <v>16.826499999999999</v>
      </c>
      <c r="L3" s="199">
        <v>4.6100000000000002E-2</v>
      </c>
      <c r="M3" s="194">
        <f t="shared" si="3"/>
        <v>1.383</v>
      </c>
      <c r="N3" s="194">
        <f t="shared" si="4"/>
        <v>0</v>
      </c>
      <c r="O3" s="195"/>
      <c r="P3" s="195"/>
      <c r="Q3" s="195"/>
      <c r="R3" s="195"/>
      <c r="S3" s="195"/>
      <c r="T3" s="195"/>
      <c r="U3" s="195"/>
      <c r="V3" s="195"/>
      <c r="W3" s="195"/>
      <c r="X3" s="195"/>
      <c r="Y3" s="195"/>
      <c r="Z3" s="195"/>
      <c r="AA3" s="195"/>
      <c r="AB3" s="195"/>
      <c r="AC3" s="196"/>
      <c r="AD3" s="196"/>
      <c r="AE3" s="196"/>
      <c r="AF3" s="196"/>
      <c r="AG3" s="196"/>
      <c r="AH3" s="196"/>
      <c r="AI3" s="196"/>
      <c r="AJ3" s="195"/>
      <c r="AK3" s="195"/>
      <c r="AL3" s="195"/>
      <c r="AM3" s="195"/>
      <c r="AN3" s="195"/>
      <c r="AO3" s="195"/>
      <c r="AP3" s="195"/>
      <c r="AQ3" s="195"/>
      <c r="AR3" s="195"/>
      <c r="AS3" s="195"/>
      <c r="AT3" s="195"/>
      <c r="AU3" s="195"/>
      <c r="AV3" s="195"/>
      <c r="AW3" s="195"/>
      <c r="AX3" s="192">
        <v>20</v>
      </c>
      <c r="AY3" s="200">
        <v>20</v>
      </c>
      <c r="AZ3" s="190" t="s">
        <v>832</v>
      </c>
      <c r="BA3" s="201" t="s">
        <v>833</v>
      </c>
    </row>
    <row r="4" spans="1:53" s="187" customFormat="1">
      <c r="A4" s="188" t="s">
        <v>827</v>
      </c>
      <c r="B4" s="192">
        <v>408</v>
      </c>
      <c r="C4" s="192">
        <v>408</v>
      </c>
      <c r="D4" s="190" t="s">
        <v>834</v>
      </c>
      <c r="E4" s="191" t="s">
        <v>15</v>
      </c>
      <c r="F4" s="191" t="s">
        <v>60</v>
      </c>
      <c r="G4" s="191"/>
      <c r="H4" s="193">
        <f t="shared" si="0"/>
        <v>796.68550000000005</v>
      </c>
      <c r="I4" s="199">
        <v>2.1827000000000001</v>
      </c>
      <c r="J4" s="194">
        <f t="shared" si="1"/>
        <v>65.481000000000009</v>
      </c>
      <c r="K4" s="194">
        <f t="shared" si="2"/>
        <v>780.84450000000004</v>
      </c>
      <c r="L4" s="199">
        <v>2.1393</v>
      </c>
      <c r="M4" s="194">
        <f t="shared" si="3"/>
        <v>64.179000000000002</v>
      </c>
      <c r="N4" s="194">
        <f t="shared" si="4"/>
        <v>-4.3400000000000105E-2</v>
      </c>
      <c r="O4" s="195"/>
      <c r="P4" s="195"/>
      <c r="Q4" s="195"/>
      <c r="R4" s="195"/>
      <c r="S4" s="195"/>
      <c r="T4" s="195"/>
      <c r="U4" s="195"/>
      <c r="V4" s="195"/>
      <c r="W4" s="195"/>
      <c r="X4" s="195"/>
      <c r="Y4" s="195"/>
      <c r="Z4" s="195"/>
      <c r="AA4" s="195"/>
      <c r="AB4" s="195"/>
      <c r="AC4" s="196"/>
      <c r="AD4" s="196"/>
      <c r="AE4" s="196"/>
      <c r="AF4" s="196"/>
      <c r="AG4" s="196"/>
      <c r="AH4" s="196"/>
      <c r="AI4" s="196"/>
      <c r="AJ4" s="195"/>
      <c r="AK4" s="195"/>
      <c r="AL4" s="195"/>
      <c r="AM4" s="195"/>
      <c r="AN4" s="195"/>
      <c r="AO4" s="195"/>
      <c r="AP4" s="195"/>
      <c r="AQ4" s="195"/>
      <c r="AR4" s="195"/>
      <c r="AS4" s="195"/>
      <c r="AT4" s="195"/>
      <c r="AU4" s="195"/>
      <c r="AV4" s="195"/>
      <c r="AW4" s="195"/>
      <c r="AX4" s="192">
        <v>20</v>
      </c>
      <c r="AY4" s="202">
        <v>20</v>
      </c>
      <c r="AZ4" s="190" t="s">
        <v>835</v>
      </c>
      <c r="BA4" s="201" t="s">
        <v>836</v>
      </c>
    </row>
    <row r="5" spans="1:53" s="187" customFormat="1" ht="16.149999999999999" customHeight="1">
      <c r="A5" s="188" t="s">
        <v>827</v>
      </c>
      <c r="B5" s="192">
        <v>426</v>
      </c>
      <c r="C5" s="192">
        <v>426</v>
      </c>
      <c r="D5" s="190" t="s">
        <v>837</v>
      </c>
      <c r="E5" s="191" t="s">
        <v>15</v>
      </c>
      <c r="F5" s="191" t="s">
        <v>59</v>
      </c>
      <c r="G5" s="191"/>
      <c r="H5" s="193">
        <f t="shared" si="0"/>
        <v>48.399000000000001</v>
      </c>
      <c r="I5" s="199">
        <v>0.1326</v>
      </c>
      <c r="J5" s="194">
        <f t="shared" si="1"/>
        <v>3.9779999999999998</v>
      </c>
      <c r="K5" s="194">
        <f t="shared" si="2"/>
        <v>51.647499999999994</v>
      </c>
      <c r="L5" s="199">
        <v>0.14149999999999999</v>
      </c>
      <c r="M5" s="194">
        <f t="shared" si="3"/>
        <v>4.2449999999999992</v>
      </c>
      <c r="N5" s="194">
        <f t="shared" si="4"/>
        <v>8.8999999999999913E-3</v>
      </c>
      <c r="O5" s="195"/>
      <c r="P5" s="195"/>
      <c r="Q5" s="195"/>
      <c r="R5" s="195"/>
      <c r="S5" s="195"/>
      <c r="T5" s="195"/>
      <c r="U5" s="195"/>
      <c r="V5" s="195"/>
      <c r="W5" s="195"/>
      <c r="X5" s="195"/>
      <c r="Y5" s="195"/>
      <c r="Z5" s="195"/>
      <c r="AA5" s="195"/>
      <c r="AB5" s="195"/>
      <c r="AC5" s="196"/>
      <c r="AD5" s="196"/>
      <c r="AE5" s="196"/>
      <c r="AF5" s="196"/>
      <c r="AG5" s="196"/>
      <c r="AH5" s="196"/>
      <c r="AI5" s="196"/>
      <c r="AJ5" s="195"/>
      <c r="AK5" s="195"/>
      <c r="AL5" s="195"/>
      <c r="AM5" s="195"/>
      <c r="AN5" s="195"/>
      <c r="AO5" s="195"/>
      <c r="AP5" s="195"/>
      <c r="AQ5" s="195"/>
      <c r="AR5" s="195"/>
      <c r="AS5" s="195"/>
      <c r="AT5" s="195"/>
      <c r="AU5" s="195"/>
      <c r="AV5" s="195"/>
      <c r="AW5" s="195"/>
      <c r="AX5" s="192" t="s">
        <v>515</v>
      </c>
      <c r="AY5" s="202" t="s">
        <v>515</v>
      </c>
      <c r="AZ5" s="190" t="s">
        <v>838</v>
      </c>
      <c r="BA5" s="201" t="s">
        <v>839</v>
      </c>
    </row>
    <row r="6" spans="1:53" s="187" customFormat="1">
      <c r="A6" s="188" t="s">
        <v>827</v>
      </c>
      <c r="B6" s="192">
        <v>440</v>
      </c>
      <c r="C6" s="192">
        <v>440</v>
      </c>
      <c r="D6" s="190" t="s">
        <v>840</v>
      </c>
      <c r="E6" s="191" t="s">
        <v>15</v>
      </c>
      <c r="F6" s="191" t="s">
        <v>60</v>
      </c>
      <c r="G6" s="191"/>
      <c r="H6" s="193">
        <f t="shared" si="0"/>
        <v>45.369499999999995</v>
      </c>
      <c r="I6" s="199">
        <v>0.12429999999999999</v>
      </c>
      <c r="J6" s="194">
        <f t="shared" si="1"/>
        <v>3.7289999999999996</v>
      </c>
      <c r="K6" s="194">
        <f t="shared" si="2"/>
        <v>45.369499999999995</v>
      </c>
      <c r="L6" s="199">
        <v>0.12429999999999999</v>
      </c>
      <c r="M6" s="194">
        <f t="shared" si="3"/>
        <v>3.7289999999999996</v>
      </c>
      <c r="N6" s="194">
        <f t="shared" si="4"/>
        <v>0</v>
      </c>
      <c r="O6" s="195"/>
      <c r="P6" s="195"/>
      <c r="Q6" s="195"/>
      <c r="R6" s="195"/>
      <c r="S6" s="195"/>
      <c r="T6" s="195"/>
      <c r="U6" s="195"/>
      <c r="V6" s="195"/>
      <c r="W6" s="195"/>
      <c r="X6" s="195"/>
      <c r="Y6" s="195"/>
      <c r="Z6" s="195"/>
      <c r="AA6" s="195"/>
      <c r="AB6" s="195"/>
      <c r="AC6" s="196"/>
      <c r="AD6" s="196"/>
      <c r="AE6" s="196"/>
      <c r="AF6" s="196"/>
      <c r="AG6" s="196"/>
      <c r="AH6" s="196"/>
      <c r="AI6" s="196"/>
      <c r="AJ6" s="195"/>
      <c r="AK6" s="195"/>
      <c r="AL6" s="195"/>
      <c r="AM6" s="195"/>
      <c r="AN6" s="195"/>
      <c r="AO6" s="195"/>
      <c r="AP6" s="195"/>
      <c r="AQ6" s="195"/>
      <c r="AR6" s="195"/>
      <c r="AS6" s="195"/>
      <c r="AT6" s="195"/>
      <c r="AU6" s="195"/>
      <c r="AV6" s="195"/>
      <c r="AW6" s="195"/>
      <c r="AX6" s="192">
        <v>20</v>
      </c>
      <c r="AY6" s="202">
        <v>20</v>
      </c>
      <c r="AZ6" s="190" t="s">
        <v>765</v>
      </c>
      <c r="BA6" s="201" t="s">
        <v>833</v>
      </c>
    </row>
    <row r="7" spans="1:53" s="187" customFormat="1" ht="19.149999999999999" customHeight="1">
      <c r="A7" s="188" t="s">
        <v>827</v>
      </c>
      <c r="B7" s="192">
        <v>484</v>
      </c>
      <c r="C7" s="192">
        <v>484</v>
      </c>
      <c r="D7" s="190" t="s">
        <v>841</v>
      </c>
      <c r="E7" s="191" t="s">
        <v>15</v>
      </c>
      <c r="F7" s="191" t="s">
        <v>58</v>
      </c>
      <c r="G7" s="191"/>
      <c r="H7" s="193">
        <f t="shared" si="0"/>
        <v>12.3735</v>
      </c>
      <c r="I7" s="199">
        <v>3.39E-2</v>
      </c>
      <c r="J7" s="194">
        <f t="shared" si="1"/>
        <v>1.0169999999999999</v>
      </c>
      <c r="K7" s="194">
        <f t="shared" si="2"/>
        <v>12.3735</v>
      </c>
      <c r="L7" s="199">
        <v>3.39E-2</v>
      </c>
      <c r="M7" s="194">
        <f t="shared" si="3"/>
        <v>1.0169999999999999</v>
      </c>
      <c r="N7" s="194">
        <f t="shared" si="4"/>
        <v>0</v>
      </c>
      <c r="O7" s="195"/>
      <c r="P7" s="195"/>
      <c r="Q7" s="195"/>
      <c r="R7" s="195"/>
      <c r="S7" s="195"/>
      <c r="T7" s="195"/>
      <c r="U7" s="195"/>
      <c r="V7" s="195"/>
      <c r="W7" s="195"/>
      <c r="X7" s="195"/>
      <c r="Y7" s="195"/>
      <c r="Z7" s="195"/>
      <c r="AA7" s="195"/>
      <c r="AB7" s="195"/>
      <c r="AC7" s="196"/>
      <c r="AD7" s="196"/>
      <c r="AE7" s="196"/>
      <c r="AF7" s="196"/>
      <c r="AG7" s="196"/>
      <c r="AH7" s="196"/>
      <c r="AI7" s="196"/>
      <c r="AJ7" s="195"/>
      <c r="AK7" s="195"/>
      <c r="AL7" s="195"/>
      <c r="AM7" s="195"/>
      <c r="AN7" s="195"/>
      <c r="AO7" s="195"/>
      <c r="AP7" s="195"/>
      <c r="AQ7" s="195"/>
      <c r="AR7" s="195"/>
      <c r="AS7" s="195"/>
      <c r="AT7" s="195"/>
      <c r="AU7" s="195"/>
      <c r="AV7" s="195"/>
      <c r="AW7" s="195"/>
      <c r="AX7" s="192">
        <v>20</v>
      </c>
      <c r="AY7" s="202">
        <v>20</v>
      </c>
      <c r="AZ7" s="190" t="s">
        <v>832</v>
      </c>
      <c r="BA7" s="201" t="s">
        <v>842</v>
      </c>
    </row>
    <row r="8" spans="1:53" s="187" customFormat="1" ht="16.149999999999999" customHeight="1">
      <c r="A8" s="188" t="s">
        <v>827</v>
      </c>
      <c r="B8" s="192">
        <v>516</v>
      </c>
      <c r="C8" s="192">
        <v>516</v>
      </c>
      <c r="D8" s="190" t="s">
        <v>843</v>
      </c>
      <c r="E8" s="191" t="s">
        <v>15</v>
      </c>
      <c r="F8" s="191" t="s">
        <v>59</v>
      </c>
      <c r="G8" s="191"/>
      <c r="H8" s="193">
        <v>2.77</v>
      </c>
      <c r="I8" s="199">
        <v>7.6E-3</v>
      </c>
      <c r="J8" s="194">
        <f t="shared" si="1"/>
        <v>0.22800000000000001</v>
      </c>
      <c r="K8" s="194">
        <f t="shared" si="2"/>
        <v>2.774</v>
      </c>
      <c r="L8" s="199">
        <v>7.6E-3</v>
      </c>
      <c r="M8" s="194">
        <f t="shared" si="3"/>
        <v>0.22800000000000001</v>
      </c>
      <c r="N8" s="194">
        <f t="shared" si="4"/>
        <v>0</v>
      </c>
      <c r="O8" s="195"/>
      <c r="P8" s="195"/>
      <c r="Q8" s="195"/>
      <c r="R8" s="195"/>
      <c r="S8" s="195"/>
      <c r="T8" s="195"/>
      <c r="U8" s="195"/>
      <c r="V8" s="195"/>
      <c r="W8" s="195"/>
      <c r="X8" s="195"/>
      <c r="Y8" s="195"/>
      <c r="Z8" s="195"/>
      <c r="AA8" s="195"/>
      <c r="AB8" s="195"/>
      <c r="AC8" s="196"/>
      <c r="AD8" s="196"/>
      <c r="AE8" s="196"/>
      <c r="AF8" s="196"/>
      <c r="AG8" s="196"/>
      <c r="AH8" s="196"/>
      <c r="AI8" s="196"/>
      <c r="AJ8" s="195"/>
      <c r="AK8" s="195"/>
      <c r="AL8" s="195"/>
      <c r="AM8" s="195"/>
      <c r="AN8" s="195"/>
      <c r="AO8" s="195"/>
      <c r="AP8" s="195"/>
      <c r="AQ8" s="195"/>
      <c r="AR8" s="195"/>
      <c r="AS8" s="195"/>
      <c r="AT8" s="195"/>
      <c r="AU8" s="195"/>
      <c r="AV8" s="195"/>
      <c r="AW8" s="195"/>
      <c r="AX8" s="192">
        <v>20</v>
      </c>
      <c r="AY8" s="203">
        <v>20</v>
      </c>
      <c r="AZ8" s="191" t="s">
        <v>844</v>
      </c>
      <c r="BA8" s="204" t="s">
        <v>830</v>
      </c>
    </row>
    <row r="9" spans="1:53" s="187" customFormat="1">
      <c r="A9" s="188" t="s">
        <v>827</v>
      </c>
      <c r="B9" s="192">
        <v>551</v>
      </c>
      <c r="C9" s="192">
        <v>551</v>
      </c>
      <c r="D9" s="190" t="s">
        <v>845</v>
      </c>
      <c r="E9" s="191" t="s">
        <v>15</v>
      </c>
      <c r="F9" s="191" t="s">
        <v>59</v>
      </c>
      <c r="G9" s="191" t="s">
        <v>782</v>
      </c>
      <c r="H9" s="193">
        <f t="shared" ref="H9:H15" si="5">I9*365</f>
        <v>41.171999999999997</v>
      </c>
      <c r="I9" s="206">
        <v>0.1128</v>
      </c>
      <c r="J9" s="194">
        <f t="shared" si="1"/>
        <v>3.3839999999999999</v>
      </c>
      <c r="K9" s="194">
        <f t="shared" si="2"/>
        <v>257.69</v>
      </c>
      <c r="L9" s="203">
        <v>0.70599999999999996</v>
      </c>
      <c r="M9" s="194">
        <f t="shared" si="3"/>
        <v>21.18</v>
      </c>
      <c r="N9" s="194">
        <f t="shared" si="4"/>
        <v>0.59319999999999995</v>
      </c>
      <c r="O9" s="195"/>
      <c r="P9" s="195"/>
      <c r="Q9" s="195"/>
      <c r="R9" s="195"/>
      <c r="S9" s="195"/>
      <c r="T9" s="195"/>
      <c r="U9" s="195"/>
      <c r="V9" s="195"/>
      <c r="W9" s="195"/>
      <c r="X9" s="195"/>
      <c r="Y9" s="195"/>
      <c r="Z9" s="195"/>
      <c r="AA9" s="195"/>
      <c r="AB9" s="195"/>
      <c r="AC9" s="196"/>
      <c r="AD9" s="196"/>
      <c r="AE9" s="196"/>
      <c r="AF9" s="196"/>
      <c r="AG9" s="196"/>
      <c r="AH9" s="196"/>
      <c r="AI9" s="196"/>
      <c r="AJ9" s="195"/>
      <c r="AK9" s="195"/>
      <c r="AL9" s="195"/>
      <c r="AM9" s="195"/>
      <c r="AN9" s="195"/>
      <c r="AO9" s="195"/>
      <c r="AP9" s="195"/>
      <c r="AQ9" s="195"/>
      <c r="AR9" s="195"/>
      <c r="AS9" s="195"/>
      <c r="AT9" s="195"/>
      <c r="AU9" s="195"/>
      <c r="AV9" s="195"/>
      <c r="AW9" s="195"/>
      <c r="AX9" s="192" t="s">
        <v>482</v>
      </c>
      <c r="AY9" s="203" t="s">
        <v>482</v>
      </c>
      <c r="AZ9" s="190" t="s">
        <v>846</v>
      </c>
      <c r="BA9" s="204" t="s">
        <v>847</v>
      </c>
    </row>
    <row r="10" spans="1:53" s="187" customFormat="1" ht="16.899999999999999" customHeight="1">
      <c r="A10" s="188" t="s">
        <v>827</v>
      </c>
      <c r="B10" s="189">
        <v>610</v>
      </c>
      <c r="C10" s="189">
        <v>610</v>
      </c>
      <c r="D10" s="190" t="s">
        <v>848</v>
      </c>
      <c r="E10" s="191" t="s">
        <v>15</v>
      </c>
      <c r="F10" s="191" t="s">
        <v>60</v>
      </c>
      <c r="G10" s="191"/>
      <c r="H10" s="193">
        <f t="shared" si="5"/>
        <v>607.72500000000002</v>
      </c>
      <c r="I10" s="194">
        <v>1.665</v>
      </c>
      <c r="J10" s="194">
        <f t="shared" si="1"/>
        <v>49.95</v>
      </c>
      <c r="K10" s="193">
        <f t="shared" si="2"/>
        <v>607.72500000000002</v>
      </c>
      <c r="L10" s="194">
        <v>1.665</v>
      </c>
      <c r="M10" s="194">
        <f t="shared" si="3"/>
        <v>49.95</v>
      </c>
      <c r="N10" s="194">
        <f t="shared" si="4"/>
        <v>0</v>
      </c>
      <c r="O10" s="195"/>
      <c r="P10" s="195"/>
      <c r="Q10" s="195"/>
      <c r="R10" s="195"/>
      <c r="S10" s="195"/>
      <c r="T10" s="195"/>
      <c r="U10" s="195"/>
      <c r="V10" s="195"/>
      <c r="W10" s="195"/>
      <c r="X10" s="195"/>
      <c r="Y10" s="195"/>
      <c r="Z10" s="195"/>
      <c r="AA10" s="195"/>
      <c r="AB10" s="195"/>
      <c r="AC10" s="196"/>
      <c r="AD10" s="196"/>
      <c r="AE10" s="196"/>
      <c r="AF10" s="196"/>
      <c r="AG10" s="196"/>
      <c r="AH10" s="196"/>
      <c r="AI10" s="196"/>
      <c r="AJ10" s="195"/>
      <c r="AK10" s="195"/>
      <c r="AL10" s="195"/>
      <c r="AM10" s="195"/>
      <c r="AN10" s="195"/>
      <c r="AO10" s="195"/>
      <c r="AP10" s="195"/>
      <c r="AQ10" s="195"/>
      <c r="AR10" s="195"/>
      <c r="AS10" s="195"/>
      <c r="AT10" s="195"/>
      <c r="AU10" s="195"/>
      <c r="AV10" s="195"/>
      <c r="AW10" s="195"/>
      <c r="AX10" s="191" t="s">
        <v>482</v>
      </c>
      <c r="AY10" s="191" t="s">
        <v>482</v>
      </c>
      <c r="AZ10" s="207" t="s">
        <v>849</v>
      </c>
      <c r="BA10" s="198" t="s">
        <v>842</v>
      </c>
    </row>
    <row r="11" spans="1:53" s="187" customFormat="1">
      <c r="A11" s="188" t="s">
        <v>827</v>
      </c>
      <c r="B11" s="192">
        <v>632</v>
      </c>
      <c r="C11" s="192">
        <v>632</v>
      </c>
      <c r="D11" s="190" t="s">
        <v>850</v>
      </c>
      <c r="E11" s="191" t="s">
        <v>15</v>
      </c>
      <c r="F11" s="191" t="s">
        <v>59</v>
      </c>
      <c r="G11" s="191"/>
      <c r="H11" s="193">
        <f t="shared" si="5"/>
        <v>0</v>
      </c>
      <c r="I11" s="199">
        <v>0</v>
      </c>
      <c r="J11" s="194">
        <f t="shared" si="1"/>
        <v>0</v>
      </c>
      <c r="K11" s="194">
        <f t="shared" si="2"/>
        <v>7.8474999999999993</v>
      </c>
      <c r="L11" s="199">
        <v>2.1499999999999998E-2</v>
      </c>
      <c r="M11" s="194">
        <f t="shared" si="3"/>
        <v>0.64499999999999991</v>
      </c>
      <c r="N11" s="194">
        <f t="shared" si="4"/>
        <v>2.1499999999999998E-2</v>
      </c>
      <c r="O11" s="195"/>
      <c r="P11" s="195"/>
      <c r="Q11" s="195"/>
      <c r="R11" s="195"/>
      <c r="S11" s="195"/>
      <c r="T11" s="195"/>
      <c r="U11" s="195"/>
      <c r="V11" s="195"/>
      <c r="W11" s="195"/>
      <c r="X11" s="195"/>
      <c r="Y11" s="195"/>
      <c r="Z11" s="195"/>
      <c r="AA11" s="195"/>
      <c r="AB11" s="195"/>
      <c r="AC11" s="196"/>
      <c r="AD11" s="196"/>
      <c r="AE11" s="196"/>
      <c r="AF11" s="196"/>
      <c r="AG11" s="196"/>
      <c r="AH11" s="196"/>
      <c r="AI11" s="196"/>
      <c r="AJ11" s="195"/>
      <c r="AK11" s="195"/>
      <c r="AL11" s="195"/>
      <c r="AM11" s="195"/>
      <c r="AN11" s="195"/>
      <c r="AO11" s="195"/>
      <c r="AP11" s="195"/>
      <c r="AQ11" s="195"/>
      <c r="AR11" s="195"/>
      <c r="AS11" s="195"/>
      <c r="AT11" s="195"/>
      <c r="AU11" s="195"/>
      <c r="AV11" s="195"/>
      <c r="AW11" s="195"/>
      <c r="AX11" s="192">
        <v>20</v>
      </c>
      <c r="AY11" s="202" t="s">
        <v>851</v>
      </c>
      <c r="AZ11" s="190" t="s">
        <v>852</v>
      </c>
      <c r="BA11" s="190" t="s">
        <v>830</v>
      </c>
    </row>
    <row r="12" spans="1:53" s="187" customFormat="1">
      <c r="A12" s="188" t="s">
        <v>827</v>
      </c>
      <c r="B12" s="192">
        <v>674</v>
      </c>
      <c r="C12" s="192">
        <v>674</v>
      </c>
      <c r="D12" s="190" t="s">
        <v>853</v>
      </c>
      <c r="E12" s="191" t="s">
        <v>15</v>
      </c>
      <c r="F12" s="191" t="s">
        <v>59</v>
      </c>
      <c r="G12" s="191"/>
      <c r="H12" s="193">
        <f t="shared" si="5"/>
        <v>33.507000000000005</v>
      </c>
      <c r="I12" s="199">
        <v>9.1800000000000007E-2</v>
      </c>
      <c r="J12" s="194">
        <f t="shared" si="1"/>
        <v>2.754</v>
      </c>
      <c r="K12" s="194">
        <f t="shared" si="2"/>
        <v>29.491999999999997</v>
      </c>
      <c r="L12" s="199">
        <v>8.0799999999999997E-2</v>
      </c>
      <c r="M12" s="194">
        <f t="shared" si="3"/>
        <v>2.4239999999999999</v>
      </c>
      <c r="N12" s="194">
        <f t="shared" si="4"/>
        <v>-1.100000000000001E-2</v>
      </c>
      <c r="O12" s="195"/>
      <c r="P12" s="195"/>
      <c r="Q12" s="195"/>
      <c r="R12" s="195"/>
      <c r="S12" s="195"/>
      <c r="T12" s="195"/>
      <c r="U12" s="195"/>
      <c r="V12" s="195"/>
      <c r="W12" s="195"/>
      <c r="X12" s="195"/>
      <c r="Y12" s="195"/>
      <c r="Z12" s="195"/>
      <c r="AA12" s="195"/>
      <c r="AB12" s="195"/>
      <c r="AC12" s="196"/>
      <c r="AD12" s="196"/>
      <c r="AE12" s="196"/>
      <c r="AF12" s="196"/>
      <c r="AG12" s="196"/>
      <c r="AH12" s="196"/>
      <c r="AI12" s="196"/>
      <c r="AJ12" s="195"/>
      <c r="AK12" s="195"/>
      <c r="AL12" s="195"/>
      <c r="AM12" s="195"/>
      <c r="AN12" s="195"/>
      <c r="AO12" s="195"/>
      <c r="AP12" s="195"/>
      <c r="AQ12" s="195"/>
      <c r="AR12" s="195"/>
      <c r="AS12" s="195"/>
      <c r="AT12" s="195"/>
      <c r="AU12" s="195"/>
      <c r="AV12" s="195"/>
      <c r="AW12" s="195"/>
      <c r="AX12" s="192">
        <v>20</v>
      </c>
      <c r="AY12" s="202">
        <v>20</v>
      </c>
      <c r="AZ12" s="190" t="s">
        <v>854</v>
      </c>
      <c r="BA12" s="208" t="s">
        <v>855</v>
      </c>
    </row>
    <row r="13" spans="1:53" s="187" customFormat="1">
      <c r="A13" s="188" t="s">
        <v>827</v>
      </c>
      <c r="B13" s="192">
        <v>738</v>
      </c>
      <c r="C13" s="192">
        <v>738</v>
      </c>
      <c r="D13" s="190" t="s">
        <v>856</v>
      </c>
      <c r="E13" s="191" t="s">
        <v>15</v>
      </c>
      <c r="F13" s="191" t="s">
        <v>59</v>
      </c>
      <c r="G13" s="191"/>
      <c r="H13" s="193">
        <f t="shared" si="5"/>
        <v>13.797000000000001</v>
      </c>
      <c r="I13" s="199">
        <v>3.78E-2</v>
      </c>
      <c r="J13" s="194">
        <f t="shared" si="1"/>
        <v>1.1339999999999999</v>
      </c>
      <c r="K13" s="194">
        <f t="shared" si="2"/>
        <v>13.797000000000001</v>
      </c>
      <c r="L13" s="199">
        <v>3.78E-2</v>
      </c>
      <c r="M13" s="194">
        <f t="shared" si="3"/>
        <v>1.1339999999999999</v>
      </c>
      <c r="N13" s="194">
        <f t="shared" si="4"/>
        <v>0</v>
      </c>
      <c r="O13" s="195"/>
      <c r="P13" s="195"/>
      <c r="Q13" s="195"/>
      <c r="R13" s="195"/>
      <c r="S13" s="195"/>
      <c r="T13" s="195"/>
      <c r="U13" s="195"/>
      <c r="V13" s="195"/>
      <c r="W13" s="195"/>
      <c r="X13" s="195"/>
      <c r="Y13" s="195"/>
      <c r="Z13" s="195"/>
      <c r="AA13" s="195"/>
      <c r="AB13" s="195"/>
      <c r="AC13" s="196"/>
      <c r="AD13" s="196"/>
      <c r="AE13" s="196"/>
      <c r="AF13" s="196"/>
      <c r="AG13" s="196"/>
      <c r="AH13" s="196"/>
      <c r="AI13" s="196"/>
      <c r="AJ13" s="195"/>
      <c r="AK13" s="195"/>
      <c r="AL13" s="195"/>
      <c r="AM13" s="195"/>
      <c r="AN13" s="195"/>
      <c r="AO13" s="195"/>
      <c r="AP13" s="195"/>
      <c r="AQ13" s="195"/>
      <c r="AR13" s="195"/>
      <c r="AS13" s="195"/>
      <c r="AT13" s="195"/>
      <c r="AU13" s="195"/>
      <c r="AV13" s="195"/>
      <c r="AW13" s="195"/>
      <c r="AX13" s="192">
        <v>20</v>
      </c>
      <c r="AY13" s="202">
        <v>20</v>
      </c>
      <c r="AZ13" s="190" t="s">
        <v>765</v>
      </c>
      <c r="BA13" s="190" t="s">
        <v>857</v>
      </c>
    </row>
    <row r="14" spans="1:53" s="187" customFormat="1">
      <c r="A14" s="188" t="s">
        <v>827</v>
      </c>
      <c r="B14" s="192">
        <v>767</v>
      </c>
      <c r="C14" s="192">
        <v>767</v>
      </c>
      <c r="D14" s="190" t="s">
        <v>858</v>
      </c>
      <c r="E14" s="191" t="s">
        <v>15</v>
      </c>
      <c r="F14" s="191" t="s">
        <v>59</v>
      </c>
      <c r="G14" s="191" t="s">
        <v>782</v>
      </c>
      <c r="H14" s="193">
        <f t="shared" si="5"/>
        <v>6.6430000000000007</v>
      </c>
      <c r="I14" s="199">
        <v>1.8200000000000001E-2</v>
      </c>
      <c r="J14" s="194">
        <f t="shared" si="1"/>
        <v>0.54600000000000004</v>
      </c>
      <c r="K14" s="194">
        <f t="shared" si="2"/>
        <v>6.6430000000000007</v>
      </c>
      <c r="L14" s="199">
        <v>1.8200000000000001E-2</v>
      </c>
      <c r="M14" s="194">
        <f t="shared" si="3"/>
        <v>0.54600000000000004</v>
      </c>
      <c r="N14" s="194">
        <f t="shared" si="4"/>
        <v>0</v>
      </c>
      <c r="O14" s="195"/>
      <c r="P14" s="195"/>
      <c r="Q14" s="195"/>
      <c r="R14" s="195"/>
      <c r="S14" s="195"/>
      <c r="T14" s="195"/>
      <c r="U14" s="195"/>
      <c r="V14" s="195"/>
      <c r="W14" s="195"/>
      <c r="X14" s="195"/>
      <c r="Y14" s="195"/>
      <c r="Z14" s="195"/>
      <c r="AA14" s="195"/>
      <c r="AB14" s="195"/>
      <c r="AC14" s="196"/>
      <c r="AD14" s="196"/>
      <c r="AE14" s="196"/>
      <c r="AF14" s="196"/>
      <c r="AG14" s="196"/>
      <c r="AH14" s="196"/>
      <c r="AI14" s="196"/>
      <c r="AJ14" s="195"/>
      <c r="AK14" s="195"/>
      <c r="AL14" s="195"/>
      <c r="AM14" s="195"/>
      <c r="AN14" s="195"/>
      <c r="AO14" s="195"/>
      <c r="AP14" s="195"/>
      <c r="AQ14" s="195"/>
      <c r="AR14" s="195"/>
      <c r="AS14" s="195"/>
      <c r="AT14" s="195"/>
      <c r="AU14" s="195"/>
      <c r="AV14" s="195"/>
      <c r="AW14" s="195"/>
      <c r="AX14" s="192">
        <v>10</v>
      </c>
      <c r="AY14" s="202" t="s">
        <v>851</v>
      </c>
      <c r="AZ14" s="190" t="s">
        <v>859</v>
      </c>
      <c r="BA14" s="190" t="s">
        <v>830</v>
      </c>
    </row>
    <row r="15" spans="1:53" s="187" customFormat="1" ht="17.45" customHeight="1">
      <c r="A15" s="188" t="s">
        <v>827</v>
      </c>
      <c r="B15" s="189">
        <v>794</v>
      </c>
      <c r="C15" s="189">
        <v>794</v>
      </c>
      <c r="D15" s="190" t="s">
        <v>860</v>
      </c>
      <c r="E15" s="191" t="s">
        <v>15</v>
      </c>
      <c r="F15" s="191" t="s">
        <v>59</v>
      </c>
      <c r="G15" s="191"/>
      <c r="H15" s="193">
        <f t="shared" si="5"/>
        <v>10.95</v>
      </c>
      <c r="I15" s="199">
        <v>0.03</v>
      </c>
      <c r="J15" s="194">
        <f t="shared" si="1"/>
        <v>0.89999999999999991</v>
      </c>
      <c r="K15" s="194">
        <f t="shared" si="2"/>
        <v>17.994499999999999</v>
      </c>
      <c r="L15" s="199">
        <v>4.9299999999999997E-2</v>
      </c>
      <c r="M15" s="194">
        <f t="shared" si="3"/>
        <v>1.4789999999999999</v>
      </c>
      <c r="N15" s="194">
        <f t="shared" si="4"/>
        <v>1.9299999999999998E-2</v>
      </c>
      <c r="O15" s="195"/>
      <c r="P15" s="195"/>
      <c r="Q15" s="195"/>
      <c r="R15" s="195"/>
      <c r="S15" s="195"/>
      <c r="T15" s="195"/>
      <c r="U15" s="195"/>
      <c r="V15" s="195"/>
      <c r="W15" s="195"/>
      <c r="X15" s="195"/>
      <c r="Y15" s="195"/>
      <c r="Z15" s="195"/>
      <c r="AA15" s="195"/>
      <c r="AB15" s="195"/>
      <c r="AC15" s="196"/>
      <c r="AD15" s="196"/>
      <c r="AE15" s="196"/>
      <c r="AF15" s="196"/>
      <c r="AG15" s="196"/>
      <c r="AH15" s="196"/>
      <c r="AI15" s="196"/>
      <c r="AJ15" s="195"/>
      <c r="AK15" s="195"/>
      <c r="AL15" s="195"/>
      <c r="AM15" s="195"/>
      <c r="AN15" s="195"/>
      <c r="AO15" s="195"/>
      <c r="AP15" s="195"/>
      <c r="AQ15" s="195"/>
      <c r="AR15" s="195"/>
      <c r="AS15" s="195"/>
      <c r="AT15" s="195"/>
      <c r="AU15" s="195"/>
      <c r="AV15" s="195"/>
      <c r="AW15" s="195"/>
      <c r="AX15" s="191">
        <v>10</v>
      </c>
      <c r="AY15" s="191">
        <v>20</v>
      </c>
      <c r="AZ15" s="207" t="s">
        <v>861</v>
      </c>
      <c r="BA15" s="209" t="s">
        <v>862</v>
      </c>
    </row>
    <row r="16" spans="1:53" s="187" customFormat="1" ht="16.149999999999999" customHeight="1">
      <c r="A16" s="188" t="s">
        <v>827</v>
      </c>
      <c r="B16" s="192">
        <v>860</v>
      </c>
      <c r="C16" s="192">
        <v>860</v>
      </c>
      <c r="D16" s="190" t="s">
        <v>863</v>
      </c>
      <c r="E16" s="191" t="s">
        <v>15</v>
      </c>
      <c r="F16" s="191" t="s">
        <v>59</v>
      </c>
      <c r="G16" s="191"/>
      <c r="H16" s="193">
        <v>13.906499999999999</v>
      </c>
      <c r="I16" s="199">
        <v>3.8100000000000002E-2</v>
      </c>
      <c r="J16" s="194">
        <f t="shared" si="1"/>
        <v>1.143</v>
      </c>
      <c r="K16" s="194">
        <f t="shared" si="2"/>
        <v>13.906500000000001</v>
      </c>
      <c r="L16" s="199">
        <v>3.8100000000000002E-2</v>
      </c>
      <c r="M16" s="194">
        <f t="shared" si="3"/>
        <v>1.143</v>
      </c>
      <c r="N16" s="194">
        <f t="shared" si="4"/>
        <v>0</v>
      </c>
      <c r="O16" s="195"/>
      <c r="P16" s="195"/>
      <c r="Q16" s="195"/>
      <c r="R16" s="195"/>
      <c r="S16" s="195"/>
      <c r="T16" s="195"/>
      <c r="U16" s="195"/>
      <c r="V16" s="195"/>
      <c r="W16" s="195"/>
      <c r="X16" s="195"/>
      <c r="Y16" s="195"/>
      <c r="Z16" s="195"/>
      <c r="AA16" s="195"/>
      <c r="AB16" s="195"/>
      <c r="AC16" s="196"/>
      <c r="AD16" s="196"/>
      <c r="AE16" s="196"/>
      <c r="AF16" s="196"/>
      <c r="AG16" s="196"/>
      <c r="AH16" s="196"/>
      <c r="AI16" s="196"/>
      <c r="AJ16" s="195"/>
      <c r="AK16" s="195"/>
      <c r="AL16" s="195"/>
      <c r="AM16" s="195"/>
      <c r="AN16" s="195"/>
      <c r="AO16" s="195"/>
      <c r="AP16" s="195"/>
      <c r="AQ16" s="195"/>
      <c r="AR16" s="195"/>
      <c r="AS16" s="195"/>
      <c r="AT16" s="195"/>
      <c r="AU16" s="195"/>
      <c r="AV16" s="195"/>
      <c r="AW16" s="195"/>
      <c r="AX16" s="192">
        <v>10</v>
      </c>
      <c r="AY16" s="202">
        <v>10</v>
      </c>
      <c r="AZ16" s="190" t="s">
        <v>835</v>
      </c>
      <c r="BA16" s="190" t="s">
        <v>830</v>
      </c>
    </row>
    <row r="17" spans="1:53" s="187" customFormat="1">
      <c r="A17" s="188" t="s">
        <v>827</v>
      </c>
      <c r="B17" s="192">
        <v>869</v>
      </c>
      <c r="C17" s="192">
        <v>869</v>
      </c>
      <c r="D17" s="190" t="s">
        <v>864</v>
      </c>
      <c r="E17" s="191" t="s">
        <v>865</v>
      </c>
      <c r="F17" s="191" t="s">
        <v>59</v>
      </c>
      <c r="G17" s="191"/>
      <c r="H17" s="193">
        <f t="shared" ref="H17:H24" si="6">I17*365</f>
        <v>14.162000000000001</v>
      </c>
      <c r="I17" s="199">
        <v>3.8800000000000001E-2</v>
      </c>
      <c r="J17" s="194">
        <f t="shared" si="1"/>
        <v>1.1640000000000001</v>
      </c>
      <c r="K17" s="194">
        <f t="shared" si="2"/>
        <v>14.162000000000001</v>
      </c>
      <c r="L17" s="199">
        <v>3.8800000000000001E-2</v>
      </c>
      <c r="M17" s="194">
        <f t="shared" si="3"/>
        <v>1.1640000000000001</v>
      </c>
      <c r="N17" s="194">
        <f t="shared" si="4"/>
        <v>0</v>
      </c>
      <c r="O17" s="195"/>
      <c r="P17" s="195"/>
      <c r="Q17" s="195"/>
      <c r="R17" s="195"/>
      <c r="S17" s="195"/>
      <c r="T17" s="195"/>
      <c r="U17" s="195"/>
      <c r="V17" s="195"/>
      <c r="W17" s="195"/>
      <c r="X17" s="195"/>
      <c r="Y17" s="195"/>
      <c r="Z17" s="195"/>
      <c r="AA17" s="195"/>
      <c r="AB17" s="195"/>
      <c r="AC17" s="196"/>
      <c r="AD17" s="196"/>
      <c r="AE17" s="196"/>
      <c r="AF17" s="196"/>
      <c r="AG17" s="196"/>
      <c r="AH17" s="196"/>
      <c r="AI17" s="196"/>
      <c r="AJ17" s="195"/>
      <c r="AK17" s="195"/>
      <c r="AL17" s="195"/>
      <c r="AM17" s="195"/>
      <c r="AN17" s="195"/>
      <c r="AO17" s="195"/>
      <c r="AP17" s="195"/>
      <c r="AQ17" s="195"/>
      <c r="AR17" s="195"/>
      <c r="AS17" s="195"/>
      <c r="AT17" s="195"/>
      <c r="AU17" s="195"/>
      <c r="AV17" s="195"/>
      <c r="AW17" s="195"/>
      <c r="AX17" s="192">
        <v>20</v>
      </c>
      <c r="AY17" s="202">
        <v>20</v>
      </c>
      <c r="AZ17" s="190" t="s">
        <v>866</v>
      </c>
      <c r="BA17" s="201" t="s">
        <v>830</v>
      </c>
    </row>
    <row r="18" spans="1:53" s="187" customFormat="1">
      <c r="A18" s="188" t="s">
        <v>827</v>
      </c>
      <c r="B18" s="192">
        <v>949</v>
      </c>
      <c r="C18" s="192">
        <v>949</v>
      </c>
      <c r="D18" s="190" t="s">
        <v>867</v>
      </c>
      <c r="E18" s="191" t="s">
        <v>15</v>
      </c>
      <c r="F18" s="191" t="s">
        <v>59</v>
      </c>
      <c r="G18" s="191"/>
      <c r="H18" s="193">
        <f t="shared" si="6"/>
        <v>26.462499999999999</v>
      </c>
      <c r="I18" s="199">
        <v>7.2499999999999995E-2</v>
      </c>
      <c r="J18" s="194">
        <f t="shared" si="1"/>
        <v>2.1749999999999998</v>
      </c>
      <c r="K18" s="194">
        <f t="shared" si="2"/>
        <v>26.462499999999999</v>
      </c>
      <c r="L18" s="199">
        <v>7.2499999999999995E-2</v>
      </c>
      <c r="M18" s="194">
        <f t="shared" si="3"/>
        <v>2.1749999999999998</v>
      </c>
      <c r="N18" s="194">
        <f t="shared" si="4"/>
        <v>0</v>
      </c>
      <c r="O18" s="195"/>
      <c r="P18" s="195"/>
      <c r="Q18" s="195"/>
      <c r="R18" s="195"/>
      <c r="S18" s="195"/>
      <c r="T18" s="195"/>
      <c r="U18" s="195"/>
      <c r="V18" s="195"/>
      <c r="W18" s="195"/>
      <c r="X18" s="195"/>
      <c r="Y18" s="195"/>
      <c r="Z18" s="195"/>
      <c r="AA18" s="195"/>
      <c r="AB18" s="195"/>
      <c r="AC18" s="196"/>
      <c r="AD18" s="196"/>
      <c r="AE18" s="196"/>
      <c r="AF18" s="196"/>
      <c r="AG18" s="196"/>
      <c r="AH18" s="196"/>
      <c r="AI18" s="196"/>
      <c r="AJ18" s="195"/>
      <c r="AK18" s="195"/>
      <c r="AL18" s="195"/>
      <c r="AM18" s="195"/>
      <c r="AN18" s="195"/>
      <c r="AO18" s="195"/>
      <c r="AP18" s="195"/>
      <c r="AQ18" s="195"/>
      <c r="AR18" s="195"/>
      <c r="AS18" s="195"/>
      <c r="AT18" s="195"/>
      <c r="AU18" s="195"/>
      <c r="AV18" s="195"/>
      <c r="AW18" s="195"/>
      <c r="AX18" s="192">
        <v>20</v>
      </c>
      <c r="AY18" s="202">
        <v>20</v>
      </c>
      <c r="AZ18" s="190" t="s">
        <v>835</v>
      </c>
      <c r="BA18" s="190" t="s">
        <v>868</v>
      </c>
    </row>
    <row r="19" spans="1:53" s="187" customFormat="1">
      <c r="A19" s="188" t="s">
        <v>827</v>
      </c>
      <c r="B19" s="192">
        <v>983</v>
      </c>
      <c r="C19" s="192">
        <v>983</v>
      </c>
      <c r="D19" s="190" t="s">
        <v>869</v>
      </c>
      <c r="E19" s="191" t="s">
        <v>15</v>
      </c>
      <c r="F19" s="191" t="s">
        <v>59</v>
      </c>
      <c r="G19" s="191"/>
      <c r="H19" s="193">
        <f t="shared" si="6"/>
        <v>0</v>
      </c>
      <c r="I19" s="199">
        <v>0</v>
      </c>
      <c r="J19" s="194">
        <f t="shared" si="1"/>
        <v>0</v>
      </c>
      <c r="K19" s="194">
        <f t="shared" si="2"/>
        <v>19.053000000000001</v>
      </c>
      <c r="L19" s="199">
        <v>5.2200000000000003E-2</v>
      </c>
      <c r="M19" s="194">
        <f t="shared" si="3"/>
        <v>1.5660000000000001</v>
      </c>
      <c r="N19" s="194">
        <f t="shared" si="4"/>
        <v>5.2200000000000003E-2</v>
      </c>
      <c r="O19" s="195"/>
      <c r="P19" s="195"/>
      <c r="Q19" s="195"/>
      <c r="R19" s="195"/>
      <c r="S19" s="195"/>
      <c r="T19" s="195"/>
      <c r="U19" s="195"/>
      <c r="V19" s="195"/>
      <c r="W19" s="195"/>
      <c r="X19" s="195"/>
      <c r="Y19" s="195"/>
      <c r="Z19" s="195"/>
      <c r="AA19" s="195"/>
      <c r="AB19" s="195"/>
      <c r="AC19" s="196"/>
      <c r="AD19" s="196"/>
      <c r="AE19" s="196"/>
      <c r="AF19" s="196"/>
      <c r="AG19" s="196"/>
      <c r="AH19" s="196"/>
      <c r="AI19" s="196"/>
      <c r="AJ19" s="195"/>
      <c r="AK19" s="195"/>
      <c r="AL19" s="195"/>
      <c r="AM19" s="195"/>
      <c r="AN19" s="195"/>
      <c r="AO19" s="195"/>
      <c r="AP19" s="195"/>
      <c r="AQ19" s="195"/>
      <c r="AR19" s="195"/>
      <c r="AS19" s="195"/>
      <c r="AT19" s="195"/>
      <c r="AU19" s="195"/>
      <c r="AV19" s="195"/>
      <c r="AW19" s="195"/>
      <c r="AX19" s="192">
        <v>10</v>
      </c>
      <c r="AY19" s="202" t="s">
        <v>851</v>
      </c>
      <c r="AZ19" s="190" t="s">
        <v>870</v>
      </c>
      <c r="BA19" s="190" t="s">
        <v>830</v>
      </c>
    </row>
    <row r="20" spans="1:53" s="187" customFormat="1">
      <c r="A20" s="188" t="s">
        <v>827</v>
      </c>
      <c r="B20" s="192">
        <v>1005</v>
      </c>
      <c r="C20" s="192">
        <v>1005</v>
      </c>
      <c r="D20" s="190" t="s">
        <v>871</v>
      </c>
      <c r="E20" s="191" t="s">
        <v>15</v>
      </c>
      <c r="F20" s="191" t="s">
        <v>59</v>
      </c>
      <c r="G20" s="191"/>
      <c r="H20" s="193">
        <f t="shared" si="6"/>
        <v>26.207000000000001</v>
      </c>
      <c r="I20" s="199">
        <v>7.1800000000000003E-2</v>
      </c>
      <c r="J20" s="194">
        <f t="shared" si="1"/>
        <v>2.1539999999999999</v>
      </c>
      <c r="K20" s="194">
        <f t="shared" si="2"/>
        <v>26.207000000000001</v>
      </c>
      <c r="L20" s="199">
        <v>7.1800000000000003E-2</v>
      </c>
      <c r="M20" s="194">
        <f t="shared" si="3"/>
        <v>2.1539999999999999</v>
      </c>
      <c r="N20" s="194">
        <f t="shared" si="4"/>
        <v>0</v>
      </c>
      <c r="O20" s="195"/>
      <c r="P20" s="195"/>
      <c r="Q20" s="195"/>
      <c r="R20" s="195"/>
      <c r="S20" s="195"/>
      <c r="T20" s="195"/>
      <c r="U20" s="195"/>
      <c r="V20" s="195"/>
      <c r="W20" s="195"/>
      <c r="X20" s="195"/>
      <c r="Y20" s="195"/>
      <c r="Z20" s="195"/>
      <c r="AA20" s="195"/>
      <c r="AB20" s="195"/>
      <c r="AC20" s="196"/>
      <c r="AD20" s="196"/>
      <c r="AE20" s="196"/>
      <c r="AF20" s="196"/>
      <c r="AG20" s="196"/>
      <c r="AH20" s="196"/>
      <c r="AI20" s="196"/>
      <c r="AJ20" s="195"/>
      <c r="AK20" s="195"/>
      <c r="AL20" s="195"/>
      <c r="AM20" s="195"/>
      <c r="AN20" s="195"/>
      <c r="AO20" s="195"/>
      <c r="AP20" s="195"/>
      <c r="AQ20" s="195"/>
      <c r="AR20" s="195"/>
      <c r="AS20" s="195"/>
      <c r="AT20" s="195"/>
      <c r="AU20" s="195"/>
      <c r="AV20" s="195"/>
      <c r="AW20" s="195"/>
      <c r="AX20" s="192">
        <v>20</v>
      </c>
      <c r="AY20" s="202" t="s">
        <v>851</v>
      </c>
      <c r="AZ20" s="190" t="s">
        <v>872</v>
      </c>
      <c r="BA20" s="190" t="s">
        <v>873</v>
      </c>
    </row>
    <row r="21" spans="1:53" s="187" customFormat="1">
      <c r="A21" s="188" t="s">
        <v>827</v>
      </c>
      <c r="B21" s="192">
        <v>1037</v>
      </c>
      <c r="C21" s="192">
        <v>1037</v>
      </c>
      <c r="D21" s="190" t="s">
        <v>874</v>
      </c>
      <c r="E21" s="191" t="s">
        <v>875</v>
      </c>
      <c r="F21" s="191" t="s">
        <v>59</v>
      </c>
      <c r="G21" s="191"/>
      <c r="H21" s="193">
        <f t="shared" si="6"/>
        <v>0</v>
      </c>
      <c r="I21" s="199">
        <v>0</v>
      </c>
      <c r="J21" s="194">
        <f t="shared" si="1"/>
        <v>0</v>
      </c>
      <c r="K21" s="194">
        <f t="shared" si="2"/>
        <v>9.927999999999999</v>
      </c>
      <c r="L21" s="199">
        <v>2.7199999999999998E-2</v>
      </c>
      <c r="M21" s="194">
        <f t="shared" si="3"/>
        <v>0.81599999999999995</v>
      </c>
      <c r="N21" s="194">
        <f t="shared" si="4"/>
        <v>2.7199999999999998E-2</v>
      </c>
      <c r="O21" s="195"/>
      <c r="P21" s="195"/>
      <c r="Q21" s="195"/>
      <c r="R21" s="195"/>
      <c r="S21" s="195"/>
      <c r="T21" s="195"/>
      <c r="U21" s="195"/>
      <c r="V21" s="195"/>
      <c r="W21" s="195"/>
      <c r="X21" s="195"/>
      <c r="Y21" s="195"/>
      <c r="Z21" s="195"/>
      <c r="AA21" s="195"/>
      <c r="AB21" s="195"/>
      <c r="AC21" s="196"/>
      <c r="AD21" s="196"/>
      <c r="AE21" s="196"/>
      <c r="AF21" s="196"/>
      <c r="AG21" s="196"/>
      <c r="AH21" s="196"/>
      <c r="AI21" s="196"/>
      <c r="AJ21" s="195"/>
      <c r="AK21" s="195"/>
      <c r="AL21" s="195"/>
      <c r="AM21" s="195"/>
      <c r="AN21" s="195"/>
      <c r="AO21" s="195"/>
      <c r="AP21" s="195"/>
      <c r="AQ21" s="195"/>
      <c r="AR21" s="195"/>
      <c r="AS21" s="195"/>
      <c r="AT21" s="195"/>
      <c r="AU21" s="195"/>
      <c r="AV21" s="195"/>
      <c r="AW21" s="195"/>
      <c r="AX21" s="192">
        <v>20</v>
      </c>
      <c r="AY21" s="202">
        <v>20</v>
      </c>
      <c r="AZ21" s="190" t="s">
        <v>852</v>
      </c>
      <c r="BA21" s="190" t="s">
        <v>842</v>
      </c>
    </row>
    <row r="22" spans="1:53" s="187" customFormat="1" ht="15.6" customHeight="1">
      <c r="A22" s="188" t="s">
        <v>827</v>
      </c>
      <c r="B22" s="210">
        <v>1128</v>
      </c>
      <c r="C22" s="210">
        <v>1128</v>
      </c>
      <c r="D22" s="211" t="s">
        <v>876</v>
      </c>
      <c r="E22" s="191" t="s">
        <v>15</v>
      </c>
      <c r="F22" s="191" t="s">
        <v>59</v>
      </c>
      <c r="G22" s="212"/>
      <c r="H22" s="193">
        <f t="shared" si="6"/>
        <v>24.966000000000001</v>
      </c>
      <c r="I22" s="199">
        <v>6.8400000000000002E-2</v>
      </c>
      <c r="J22" s="194">
        <f t="shared" si="1"/>
        <v>2.052</v>
      </c>
      <c r="K22" s="194">
        <f t="shared" si="2"/>
        <v>24.929500000000001</v>
      </c>
      <c r="L22" s="199">
        <v>6.83E-2</v>
      </c>
      <c r="M22" s="194">
        <f t="shared" si="3"/>
        <v>2.0489999999999999</v>
      </c>
      <c r="N22" s="194">
        <f t="shared" si="4"/>
        <v>-1.0000000000000286E-4</v>
      </c>
      <c r="O22" s="195"/>
      <c r="P22" s="195"/>
      <c r="Q22" s="195"/>
      <c r="R22" s="195"/>
      <c r="S22" s="195"/>
      <c r="T22" s="195"/>
      <c r="U22" s="195"/>
      <c r="V22" s="195"/>
      <c r="W22" s="195"/>
      <c r="X22" s="195"/>
      <c r="Y22" s="195"/>
      <c r="Z22" s="195"/>
      <c r="AA22" s="195"/>
      <c r="AB22" s="195"/>
      <c r="AC22" s="196"/>
      <c r="AD22" s="196"/>
      <c r="AE22" s="196"/>
      <c r="AF22" s="196"/>
      <c r="AG22" s="196"/>
      <c r="AH22" s="196"/>
      <c r="AI22" s="196"/>
      <c r="AJ22" s="195"/>
      <c r="AK22" s="195"/>
      <c r="AL22" s="195"/>
      <c r="AM22" s="195"/>
      <c r="AN22" s="195"/>
      <c r="AO22" s="195"/>
      <c r="AP22" s="195"/>
      <c r="AQ22" s="195"/>
      <c r="AR22" s="195"/>
      <c r="AS22" s="195"/>
      <c r="AT22" s="195"/>
      <c r="AU22" s="195"/>
      <c r="AV22" s="195"/>
      <c r="AW22" s="195"/>
      <c r="AX22" s="192">
        <v>20</v>
      </c>
      <c r="AY22" s="202">
        <v>20</v>
      </c>
      <c r="AZ22" s="207" t="s">
        <v>877</v>
      </c>
      <c r="BA22" s="190" t="s">
        <v>878</v>
      </c>
    </row>
    <row r="23" spans="1:53" s="187" customFormat="1">
      <c r="A23" s="188" t="s">
        <v>827</v>
      </c>
      <c r="B23" s="192">
        <v>1153</v>
      </c>
      <c r="C23" s="192">
        <v>1153</v>
      </c>
      <c r="D23" s="190" t="s">
        <v>879</v>
      </c>
      <c r="E23" s="191" t="s">
        <v>15</v>
      </c>
      <c r="F23" s="191" t="s">
        <v>59</v>
      </c>
      <c r="G23" s="191"/>
      <c r="H23" s="193">
        <f t="shared" si="6"/>
        <v>40.952999999999996</v>
      </c>
      <c r="I23" s="199">
        <v>0.11219999999999999</v>
      </c>
      <c r="J23" s="194">
        <f t="shared" si="1"/>
        <v>3.3659999999999997</v>
      </c>
      <c r="K23" s="194">
        <f t="shared" si="2"/>
        <v>40.952999999999996</v>
      </c>
      <c r="L23" s="199">
        <v>0.11219999999999999</v>
      </c>
      <c r="M23" s="194">
        <f t="shared" si="3"/>
        <v>3.3659999999999997</v>
      </c>
      <c r="N23" s="194">
        <f t="shared" si="4"/>
        <v>0</v>
      </c>
      <c r="O23" s="195"/>
      <c r="P23" s="195"/>
      <c r="Q23" s="195"/>
      <c r="R23" s="195"/>
      <c r="S23" s="195"/>
      <c r="T23" s="195"/>
      <c r="U23" s="195"/>
      <c r="V23" s="195"/>
      <c r="W23" s="195"/>
      <c r="X23" s="195"/>
      <c r="Y23" s="195"/>
      <c r="Z23" s="195"/>
      <c r="AA23" s="195"/>
      <c r="AB23" s="195"/>
      <c r="AC23" s="196"/>
      <c r="AD23" s="196"/>
      <c r="AE23" s="196"/>
      <c r="AF23" s="196"/>
      <c r="AG23" s="196"/>
      <c r="AH23" s="196"/>
      <c r="AI23" s="196"/>
      <c r="AJ23" s="195"/>
      <c r="AK23" s="195"/>
      <c r="AL23" s="195"/>
      <c r="AM23" s="195"/>
      <c r="AN23" s="195"/>
      <c r="AO23" s="195"/>
      <c r="AP23" s="195"/>
      <c r="AQ23" s="195"/>
      <c r="AR23" s="195"/>
      <c r="AS23" s="195"/>
      <c r="AT23" s="195"/>
      <c r="AU23" s="195"/>
      <c r="AV23" s="195"/>
      <c r="AW23" s="195"/>
      <c r="AX23" s="192">
        <v>20</v>
      </c>
      <c r="AY23" s="202" t="s">
        <v>851</v>
      </c>
      <c r="AZ23" s="190" t="s">
        <v>835</v>
      </c>
      <c r="BA23" s="201" t="s">
        <v>833</v>
      </c>
    </row>
    <row r="24" spans="1:53" s="187" customFormat="1">
      <c r="A24" s="188" t="s">
        <v>827</v>
      </c>
      <c r="B24" s="213">
        <v>1159</v>
      </c>
      <c r="C24" s="213">
        <v>1159</v>
      </c>
      <c r="D24" s="214" t="s">
        <v>880</v>
      </c>
      <c r="E24" s="191" t="s">
        <v>15</v>
      </c>
      <c r="F24" s="191" t="s">
        <v>59</v>
      </c>
      <c r="G24" s="191"/>
      <c r="H24" s="193">
        <f t="shared" si="6"/>
        <v>10.585000000000001</v>
      </c>
      <c r="I24" s="194">
        <v>2.9000000000000001E-2</v>
      </c>
      <c r="J24" s="194">
        <f t="shared" si="1"/>
        <v>0.87</v>
      </c>
      <c r="K24" s="194">
        <f t="shared" si="2"/>
        <v>10.585000000000001</v>
      </c>
      <c r="L24" s="194">
        <v>2.9000000000000001E-2</v>
      </c>
      <c r="M24" s="194">
        <f t="shared" si="3"/>
        <v>0.87</v>
      </c>
      <c r="N24" s="194">
        <f t="shared" si="4"/>
        <v>0</v>
      </c>
      <c r="O24" s="195"/>
      <c r="P24" s="195"/>
      <c r="Q24" s="195"/>
      <c r="R24" s="195"/>
      <c r="S24" s="195"/>
      <c r="T24" s="195"/>
      <c r="U24" s="195"/>
      <c r="V24" s="195"/>
      <c r="W24" s="195"/>
      <c r="X24" s="195"/>
      <c r="Y24" s="195"/>
      <c r="Z24" s="195"/>
      <c r="AA24" s="195"/>
      <c r="AB24" s="195"/>
      <c r="AC24" s="196"/>
      <c r="AD24" s="196"/>
      <c r="AE24" s="196"/>
      <c r="AF24" s="196"/>
      <c r="AG24" s="196"/>
      <c r="AH24" s="196"/>
      <c r="AI24" s="196"/>
      <c r="AJ24" s="195"/>
      <c r="AK24" s="195"/>
      <c r="AL24" s="195"/>
      <c r="AM24" s="195"/>
      <c r="AN24" s="195"/>
      <c r="AO24" s="195"/>
      <c r="AP24" s="195"/>
      <c r="AQ24" s="195"/>
      <c r="AR24" s="195"/>
      <c r="AS24" s="195"/>
      <c r="AT24" s="195"/>
      <c r="AU24" s="195"/>
      <c r="AV24" s="195"/>
      <c r="AW24" s="195"/>
      <c r="AX24" s="191">
        <v>20</v>
      </c>
      <c r="AY24" s="215">
        <v>20</v>
      </c>
      <c r="AZ24" s="216" t="s">
        <v>765</v>
      </c>
      <c r="BA24" s="198" t="s">
        <v>830</v>
      </c>
    </row>
    <row r="25" spans="1:53" s="187" customFormat="1">
      <c r="A25" s="188" t="s">
        <v>827</v>
      </c>
      <c r="B25" s="189">
        <v>1161</v>
      </c>
      <c r="C25" s="189">
        <v>1161</v>
      </c>
      <c r="D25" s="190" t="s">
        <v>881</v>
      </c>
      <c r="E25" s="191" t="s">
        <v>15</v>
      </c>
      <c r="F25" s="191" t="s">
        <v>59</v>
      </c>
      <c r="G25" s="191"/>
      <c r="H25" s="193">
        <v>43.836500000000001</v>
      </c>
      <c r="I25" s="194">
        <v>0.1201</v>
      </c>
      <c r="J25" s="194">
        <v>3.6030000000000002</v>
      </c>
      <c r="K25" s="194">
        <v>49.201999999999998</v>
      </c>
      <c r="L25" s="194">
        <v>0.1651</v>
      </c>
      <c r="M25" s="194">
        <f t="shared" si="3"/>
        <v>4.9530000000000003</v>
      </c>
      <c r="N25" s="194">
        <f t="shared" si="4"/>
        <v>4.4999999999999998E-2</v>
      </c>
      <c r="O25" s="195"/>
      <c r="P25" s="195"/>
      <c r="Q25" s="195"/>
      <c r="R25" s="195"/>
      <c r="S25" s="195"/>
      <c r="T25" s="195"/>
      <c r="U25" s="195"/>
      <c r="V25" s="195"/>
      <c r="W25" s="195"/>
      <c r="X25" s="195"/>
      <c r="Y25" s="195"/>
      <c r="Z25" s="195"/>
      <c r="AA25" s="195"/>
      <c r="AB25" s="195"/>
      <c r="AC25" s="196"/>
      <c r="AD25" s="196"/>
      <c r="AE25" s="196"/>
      <c r="AF25" s="196"/>
      <c r="AG25" s="196"/>
      <c r="AH25" s="196"/>
      <c r="AI25" s="196"/>
      <c r="AJ25" s="195"/>
      <c r="AK25" s="195"/>
      <c r="AL25" s="195"/>
      <c r="AM25" s="195"/>
      <c r="AN25" s="195"/>
      <c r="AO25" s="195"/>
      <c r="AP25" s="195"/>
      <c r="AQ25" s="195"/>
      <c r="AR25" s="195"/>
      <c r="AS25" s="195"/>
      <c r="AT25" s="195"/>
      <c r="AU25" s="195"/>
      <c r="AV25" s="195"/>
      <c r="AW25" s="195"/>
      <c r="AX25" s="191">
        <v>20</v>
      </c>
      <c r="AY25" s="215">
        <v>20</v>
      </c>
      <c r="AZ25" s="207" t="s">
        <v>882</v>
      </c>
      <c r="BA25" s="209" t="s">
        <v>855</v>
      </c>
    </row>
    <row r="26" spans="1:53" s="187" customFormat="1">
      <c r="A26" s="188" t="s">
        <v>827</v>
      </c>
      <c r="B26" s="189">
        <v>1173</v>
      </c>
      <c r="C26" s="189">
        <v>1173</v>
      </c>
      <c r="D26" s="190" t="s">
        <v>883</v>
      </c>
      <c r="E26" s="191" t="s">
        <v>155</v>
      </c>
      <c r="F26" s="191" t="s">
        <v>59</v>
      </c>
      <c r="G26" s="191"/>
      <c r="H26" s="193">
        <v>6.0590000000000002</v>
      </c>
      <c r="I26" s="199">
        <v>1.66E-2</v>
      </c>
      <c r="J26" s="194">
        <f t="shared" ref="J26:J39" si="7">I26*30</f>
        <v>0.498</v>
      </c>
      <c r="K26" s="194">
        <f t="shared" ref="K26:K81" si="8">L26*365</f>
        <v>6.0590000000000002</v>
      </c>
      <c r="L26" s="199">
        <v>1.66E-2</v>
      </c>
      <c r="M26" s="194">
        <f t="shared" si="3"/>
        <v>0.498</v>
      </c>
      <c r="N26" s="194">
        <f t="shared" si="4"/>
        <v>0</v>
      </c>
      <c r="O26" s="195"/>
      <c r="P26" s="195"/>
      <c r="Q26" s="195"/>
      <c r="R26" s="195"/>
      <c r="S26" s="195"/>
      <c r="T26" s="195"/>
      <c r="U26" s="195"/>
      <c r="V26" s="195"/>
      <c r="W26" s="195"/>
      <c r="X26" s="195"/>
      <c r="Y26" s="195"/>
      <c r="Z26" s="195"/>
      <c r="AA26" s="195"/>
      <c r="AB26" s="195"/>
      <c r="AC26" s="196"/>
      <c r="AD26" s="196"/>
      <c r="AE26" s="196"/>
      <c r="AF26" s="196"/>
      <c r="AG26" s="196"/>
      <c r="AH26" s="196"/>
      <c r="AI26" s="196"/>
      <c r="AJ26" s="195"/>
      <c r="AK26" s="195"/>
      <c r="AL26" s="195"/>
      <c r="AM26" s="195"/>
      <c r="AN26" s="195"/>
      <c r="AO26" s="195"/>
      <c r="AP26" s="195"/>
      <c r="AQ26" s="195"/>
      <c r="AR26" s="195"/>
      <c r="AS26" s="195"/>
      <c r="AT26" s="195"/>
      <c r="AU26" s="195"/>
      <c r="AV26" s="195"/>
      <c r="AW26" s="195"/>
      <c r="AX26" s="191">
        <v>20</v>
      </c>
      <c r="AY26" s="215">
        <v>20</v>
      </c>
      <c r="AZ26" s="207" t="s">
        <v>884</v>
      </c>
      <c r="BA26" s="198" t="s">
        <v>836</v>
      </c>
    </row>
    <row r="27" spans="1:53" s="187" customFormat="1" ht="18" customHeight="1">
      <c r="A27" s="188" t="s">
        <v>827</v>
      </c>
      <c r="B27" s="192">
        <v>1207</v>
      </c>
      <c r="C27" s="192">
        <v>1207</v>
      </c>
      <c r="D27" s="190" t="s">
        <v>885</v>
      </c>
      <c r="E27" s="191" t="s">
        <v>15</v>
      </c>
      <c r="F27" s="191" t="s">
        <v>59</v>
      </c>
      <c r="G27" s="191"/>
      <c r="H27" s="193">
        <f t="shared" ref="H27:H39" si="9">I27*365</f>
        <v>54.969000000000001</v>
      </c>
      <c r="I27" s="199">
        <v>0.15060000000000001</v>
      </c>
      <c r="J27" s="194">
        <f t="shared" si="7"/>
        <v>4.5180000000000007</v>
      </c>
      <c r="K27" s="194">
        <f t="shared" si="8"/>
        <v>54.969000000000001</v>
      </c>
      <c r="L27" s="199">
        <v>0.15060000000000001</v>
      </c>
      <c r="M27" s="194">
        <f t="shared" si="3"/>
        <v>4.5180000000000007</v>
      </c>
      <c r="N27" s="194">
        <f t="shared" si="4"/>
        <v>0</v>
      </c>
      <c r="O27" s="195"/>
      <c r="P27" s="195"/>
      <c r="Q27" s="195"/>
      <c r="R27" s="195"/>
      <c r="S27" s="195"/>
      <c r="T27" s="195"/>
      <c r="U27" s="195"/>
      <c r="V27" s="195"/>
      <c r="W27" s="195"/>
      <c r="X27" s="195"/>
      <c r="Y27" s="195"/>
      <c r="Z27" s="195"/>
      <c r="AA27" s="195"/>
      <c r="AB27" s="195"/>
      <c r="AC27" s="196"/>
      <c r="AD27" s="196"/>
      <c r="AE27" s="196"/>
      <c r="AF27" s="196"/>
      <c r="AG27" s="196"/>
      <c r="AH27" s="196"/>
      <c r="AI27" s="196"/>
      <c r="AJ27" s="195"/>
      <c r="AK27" s="195"/>
      <c r="AL27" s="195"/>
      <c r="AM27" s="195"/>
      <c r="AN27" s="195"/>
      <c r="AO27" s="195"/>
      <c r="AP27" s="195"/>
      <c r="AQ27" s="195"/>
      <c r="AR27" s="195"/>
      <c r="AS27" s="195"/>
      <c r="AT27" s="195"/>
      <c r="AU27" s="195"/>
      <c r="AV27" s="195"/>
      <c r="AW27" s="195"/>
      <c r="AX27" s="192">
        <v>20</v>
      </c>
      <c r="AY27" s="202">
        <v>20</v>
      </c>
      <c r="AZ27" s="207" t="s">
        <v>765</v>
      </c>
      <c r="BA27" s="217" t="s">
        <v>842</v>
      </c>
    </row>
    <row r="28" spans="1:53" s="187" customFormat="1">
      <c r="A28" s="188" t="s">
        <v>827</v>
      </c>
      <c r="B28" s="192">
        <v>1236</v>
      </c>
      <c r="C28" s="192">
        <v>1236</v>
      </c>
      <c r="D28" s="190" t="s">
        <v>886</v>
      </c>
      <c r="E28" s="191" t="s">
        <v>15</v>
      </c>
      <c r="F28" s="191" t="s">
        <v>59</v>
      </c>
      <c r="G28" s="218">
        <v>42118</v>
      </c>
      <c r="H28" s="193">
        <f t="shared" si="9"/>
        <v>10.439</v>
      </c>
      <c r="I28" s="199">
        <v>2.86E-2</v>
      </c>
      <c r="J28" s="194">
        <f t="shared" si="7"/>
        <v>0.85799999999999998</v>
      </c>
      <c r="K28" s="194">
        <f t="shared" si="8"/>
        <v>18.25</v>
      </c>
      <c r="L28" s="199">
        <v>0.05</v>
      </c>
      <c r="M28" s="194">
        <f t="shared" si="3"/>
        <v>1.5</v>
      </c>
      <c r="N28" s="194">
        <f t="shared" si="4"/>
        <v>2.1400000000000002E-2</v>
      </c>
      <c r="O28" s="195"/>
      <c r="P28" s="195"/>
      <c r="Q28" s="195"/>
      <c r="R28" s="195"/>
      <c r="S28" s="195"/>
      <c r="T28" s="195"/>
      <c r="U28" s="195"/>
      <c r="V28" s="195"/>
      <c r="W28" s="195"/>
      <c r="X28" s="195"/>
      <c r="Y28" s="195"/>
      <c r="Z28" s="195"/>
      <c r="AA28" s="195"/>
      <c r="AB28" s="195"/>
      <c r="AC28" s="196"/>
      <c r="AD28" s="196"/>
      <c r="AE28" s="196"/>
      <c r="AF28" s="196"/>
      <c r="AG28" s="196"/>
      <c r="AH28" s="196"/>
      <c r="AI28" s="196"/>
      <c r="AJ28" s="195"/>
      <c r="AK28" s="195"/>
      <c r="AL28" s="195"/>
      <c r="AM28" s="195"/>
      <c r="AN28" s="195"/>
      <c r="AO28" s="195"/>
      <c r="AP28" s="195"/>
      <c r="AQ28" s="195"/>
      <c r="AR28" s="195"/>
      <c r="AS28" s="195"/>
      <c r="AT28" s="195"/>
      <c r="AU28" s="195"/>
      <c r="AV28" s="195"/>
      <c r="AW28" s="195"/>
      <c r="AX28" s="191" t="s">
        <v>515</v>
      </c>
      <c r="AY28" s="215" t="s">
        <v>515</v>
      </c>
      <c r="AZ28" s="207" t="s">
        <v>887</v>
      </c>
      <c r="BA28" s="208" t="s">
        <v>888</v>
      </c>
    </row>
    <row r="29" spans="1:53" s="187" customFormat="1">
      <c r="A29" s="188" t="s">
        <v>827</v>
      </c>
      <c r="B29" s="189">
        <v>1247</v>
      </c>
      <c r="C29" s="189">
        <v>1247</v>
      </c>
      <c r="D29" s="205" t="s">
        <v>889</v>
      </c>
      <c r="E29" s="191" t="s">
        <v>15</v>
      </c>
      <c r="F29" s="192" t="s">
        <v>58</v>
      </c>
      <c r="G29" s="191"/>
      <c r="H29" s="193">
        <f t="shared" si="9"/>
        <v>112.785</v>
      </c>
      <c r="I29" s="194">
        <v>0.309</v>
      </c>
      <c r="J29" s="194">
        <f t="shared" si="7"/>
        <v>9.27</v>
      </c>
      <c r="K29" s="194">
        <f t="shared" si="8"/>
        <v>112.785</v>
      </c>
      <c r="L29" s="194">
        <v>0.309</v>
      </c>
      <c r="M29" s="194">
        <f t="shared" si="3"/>
        <v>9.27</v>
      </c>
      <c r="N29" s="194">
        <f t="shared" si="4"/>
        <v>0</v>
      </c>
      <c r="O29" s="195"/>
      <c r="P29" s="195"/>
      <c r="Q29" s="195"/>
      <c r="R29" s="195"/>
      <c r="S29" s="195"/>
      <c r="T29" s="195"/>
      <c r="U29" s="195"/>
      <c r="V29" s="195"/>
      <c r="W29" s="195"/>
      <c r="X29" s="195"/>
      <c r="Y29" s="195"/>
      <c r="Z29" s="195"/>
      <c r="AA29" s="195"/>
      <c r="AB29" s="195"/>
      <c r="AC29" s="196"/>
      <c r="AD29" s="196"/>
      <c r="AE29" s="196"/>
      <c r="AF29" s="196"/>
      <c r="AG29" s="196"/>
      <c r="AH29" s="196"/>
      <c r="AI29" s="196"/>
      <c r="AJ29" s="195"/>
      <c r="AK29" s="195"/>
      <c r="AL29" s="195"/>
      <c r="AM29" s="195"/>
      <c r="AN29" s="195"/>
      <c r="AO29" s="195"/>
      <c r="AP29" s="195"/>
      <c r="AQ29" s="195"/>
      <c r="AR29" s="195"/>
      <c r="AS29" s="195"/>
      <c r="AT29" s="195"/>
      <c r="AU29" s="195"/>
      <c r="AV29" s="195"/>
      <c r="AW29" s="195"/>
      <c r="AX29" s="191">
        <v>10</v>
      </c>
      <c r="AY29" s="215" t="s">
        <v>851</v>
      </c>
      <c r="AZ29" s="207" t="s">
        <v>835</v>
      </c>
      <c r="BA29" s="209" t="s">
        <v>855</v>
      </c>
    </row>
    <row r="30" spans="1:53" s="187" customFormat="1">
      <c r="A30" s="188" t="s">
        <v>827</v>
      </c>
      <c r="B30" s="189">
        <v>1252</v>
      </c>
      <c r="C30" s="189">
        <v>1252</v>
      </c>
      <c r="D30" s="190" t="s">
        <v>890</v>
      </c>
      <c r="E30" s="191" t="s">
        <v>15</v>
      </c>
      <c r="F30" s="191" t="s">
        <v>59</v>
      </c>
      <c r="G30" s="191"/>
      <c r="H30" s="193">
        <f t="shared" si="9"/>
        <v>88.622</v>
      </c>
      <c r="I30" s="194">
        <v>0.24279999999999999</v>
      </c>
      <c r="J30" s="194">
        <f t="shared" si="7"/>
        <v>7.2839999999999998</v>
      </c>
      <c r="K30" s="194">
        <f t="shared" si="8"/>
        <v>104.974</v>
      </c>
      <c r="L30" s="194">
        <v>0.28760000000000002</v>
      </c>
      <c r="M30" s="194">
        <f t="shared" si="3"/>
        <v>8.6280000000000001</v>
      </c>
      <c r="N30" s="194">
        <f t="shared" si="4"/>
        <v>4.4800000000000034E-2</v>
      </c>
      <c r="O30" s="195"/>
      <c r="P30" s="195"/>
      <c r="Q30" s="195"/>
      <c r="R30" s="195"/>
      <c r="S30" s="195"/>
      <c r="T30" s="195"/>
      <c r="U30" s="195"/>
      <c r="V30" s="195"/>
      <c r="W30" s="195"/>
      <c r="X30" s="195"/>
      <c r="Y30" s="195"/>
      <c r="Z30" s="195"/>
      <c r="AA30" s="195"/>
      <c r="AB30" s="195"/>
      <c r="AC30" s="196"/>
      <c r="AD30" s="196"/>
      <c r="AE30" s="196"/>
      <c r="AF30" s="196"/>
      <c r="AG30" s="196"/>
      <c r="AH30" s="196"/>
      <c r="AI30" s="196"/>
      <c r="AJ30" s="195"/>
      <c r="AK30" s="195"/>
      <c r="AL30" s="195"/>
      <c r="AM30" s="195"/>
      <c r="AN30" s="195"/>
      <c r="AO30" s="195"/>
      <c r="AP30" s="195"/>
      <c r="AQ30" s="195"/>
      <c r="AR30" s="195"/>
      <c r="AS30" s="195"/>
      <c r="AT30" s="195"/>
      <c r="AU30" s="195"/>
      <c r="AV30" s="195"/>
      <c r="AW30" s="195"/>
      <c r="AX30" s="191">
        <v>20</v>
      </c>
      <c r="AY30" s="215">
        <v>20</v>
      </c>
      <c r="AZ30" s="207" t="s">
        <v>830</v>
      </c>
      <c r="BA30" s="188" t="s">
        <v>868</v>
      </c>
    </row>
    <row r="31" spans="1:53" s="187" customFormat="1">
      <c r="A31" s="188" t="s">
        <v>827</v>
      </c>
      <c r="B31" s="192">
        <v>1255</v>
      </c>
      <c r="C31" s="192">
        <v>1255</v>
      </c>
      <c r="D31" s="190" t="s">
        <v>891</v>
      </c>
      <c r="E31" s="191" t="s">
        <v>15</v>
      </c>
      <c r="F31" s="191" t="s">
        <v>59</v>
      </c>
      <c r="G31" s="191"/>
      <c r="H31" s="193">
        <f t="shared" si="9"/>
        <v>0</v>
      </c>
      <c r="I31" s="199">
        <v>0</v>
      </c>
      <c r="J31" s="194">
        <f t="shared" si="7"/>
        <v>0</v>
      </c>
      <c r="K31" s="194">
        <f t="shared" si="8"/>
        <v>4.234</v>
      </c>
      <c r="L31" s="199">
        <v>1.1599999999999999E-2</v>
      </c>
      <c r="M31" s="194">
        <f t="shared" si="3"/>
        <v>0.34799999999999998</v>
      </c>
      <c r="N31" s="194">
        <f t="shared" si="4"/>
        <v>1.1599999999999999E-2</v>
      </c>
      <c r="O31" s="195"/>
      <c r="P31" s="195"/>
      <c r="Q31" s="195"/>
      <c r="R31" s="195"/>
      <c r="S31" s="195"/>
      <c r="T31" s="195"/>
      <c r="U31" s="195"/>
      <c r="V31" s="195"/>
      <c r="W31" s="195"/>
      <c r="X31" s="195"/>
      <c r="Y31" s="195"/>
      <c r="Z31" s="195"/>
      <c r="AA31" s="195"/>
      <c r="AB31" s="195"/>
      <c r="AC31" s="196"/>
      <c r="AD31" s="196"/>
      <c r="AE31" s="196"/>
      <c r="AF31" s="196"/>
      <c r="AG31" s="196"/>
      <c r="AH31" s="196"/>
      <c r="AI31" s="196"/>
      <c r="AJ31" s="195"/>
      <c r="AK31" s="195"/>
      <c r="AL31" s="195"/>
      <c r="AM31" s="195"/>
      <c r="AN31" s="195"/>
      <c r="AO31" s="195"/>
      <c r="AP31" s="195"/>
      <c r="AQ31" s="195"/>
      <c r="AR31" s="195"/>
      <c r="AS31" s="195"/>
      <c r="AT31" s="195"/>
      <c r="AU31" s="195"/>
      <c r="AV31" s="195"/>
      <c r="AW31" s="195"/>
      <c r="AX31" s="191">
        <v>20</v>
      </c>
      <c r="AY31" s="215">
        <v>20</v>
      </c>
      <c r="AZ31" s="207" t="s">
        <v>892</v>
      </c>
      <c r="BA31" s="208" t="s">
        <v>830</v>
      </c>
    </row>
    <row r="32" spans="1:53" s="187" customFormat="1">
      <c r="A32" s="188" t="s">
        <v>827</v>
      </c>
      <c r="B32" s="189">
        <v>1279</v>
      </c>
      <c r="C32" s="189">
        <v>1279</v>
      </c>
      <c r="D32" s="190" t="s">
        <v>893</v>
      </c>
      <c r="E32" s="191" t="s">
        <v>15</v>
      </c>
      <c r="F32" s="191" t="s">
        <v>59</v>
      </c>
      <c r="G32" s="191"/>
      <c r="H32" s="193">
        <f t="shared" si="9"/>
        <v>10.7675</v>
      </c>
      <c r="I32" s="199">
        <v>2.9499999999999998E-2</v>
      </c>
      <c r="J32" s="194">
        <f t="shared" si="7"/>
        <v>0.88500000000000001</v>
      </c>
      <c r="K32" s="194">
        <f t="shared" si="8"/>
        <v>10.7675</v>
      </c>
      <c r="L32" s="199">
        <v>2.9499999999999998E-2</v>
      </c>
      <c r="M32" s="194">
        <f t="shared" si="3"/>
        <v>0.88500000000000001</v>
      </c>
      <c r="N32" s="194">
        <f t="shared" si="4"/>
        <v>0</v>
      </c>
      <c r="O32" s="195"/>
      <c r="P32" s="195"/>
      <c r="Q32" s="195"/>
      <c r="R32" s="195"/>
      <c r="S32" s="195"/>
      <c r="T32" s="195"/>
      <c r="U32" s="195"/>
      <c r="V32" s="195"/>
      <c r="W32" s="195"/>
      <c r="X32" s="195"/>
      <c r="Y32" s="195"/>
      <c r="Z32" s="195"/>
      <c r="AA32" s="195"/>
      <c r="AB32" s="195"/>
      <c r="AC32" s="196"/>
      <c r="AD32" s="196"/>
      <c r="AE32" s="196"/>
      <c r="AF32" s="196"/>
      <c r="AG32" s="196"/>
      <c r="AH32" s="196"/>
      <c r="AI32" s="196"/>
      <c r="AJ32" s="195"/>
      <c r="AK32" s="195"/>
      <c r="AL32" s="195"/>
      <c r="AM32" s="195"/>
      <c r="AN32" s="195"/>
      <c r="AO32" s="195"/>
      <c r="AP32" s="195"/>
      <c r="AQ32" s="195"/>
      <c r="AR32" s="195"/>
      <c r="AS32" s="195"/>
      <c r="AT32" s="195"/>
      <c r="AU32" s="195"/>
      <c r="AV32" s="195"/>
      <c r="AW32" s="195"/>
      <c r="AX32" s="191">
        <v>20</v>
      </c>
      <c r="AY32" s="215">
        <v>20</v>
      </c>
      <c r="AZ32" s="207" t="s">
        <v>832</v>
      </c>
      <c r="BA32" s="209" t="s">
        <v>836</v>
      </c>
    </row>
    <row r="33" spans="1:53" s="187" customFormat="1">
      <c r="A33" s="188" t="s">
        <v>827</v>
      </c>
      <c r="B33" s="189">
        <v>1404</v>
      </c>
      <c r="C33" s="189">
        <v>1404</v>
      </c>
      <c r="D33" s="188" t="s">
        <v>894</v>
      </c>
      <c r="E33" s="191" t="s">
        <v>15</v>
      </c>
      <c r="F33" s="191" t="s">
        <v>59</v>
      </c>
      <c r="G33" s="191"/>
      <c r="H33" s="193">
        <f t="shared" si="9"/>
        <v>44.749000000000002</v>
      </c>
      <c r="I33" s="219">
        <v>0.1226</v>
      </c>
      <c r="J33" s="194">
        <f t="shared" si="7"/>
        <v>3.6779999999999999</v>
      </c>
      <c r="K33" s="194">
        <f t="shared" si="8"/>
        <v>44.749000000000002</v>
      </c>
      <c r="L33" s="219">
        <v>0.1226</v>
      </c>
      <c r="M33" s="194">
        <f t="shared" si="3"/>
        <v>3.6779999999999999</v>
      </c>
      <c r="N33" s="194">
        <f t="shared" si="4"/>
        <v>0</v>
      </c>
      <c r="O33" s="195"/>
      <c r="P33" s="195"/>
      <c r="Q33" s="195"/>
      <c r="R33" s="195"/>
      <c r="S33" s="195"/>
      <c r="T33" s="195"/>
      <c r="U33" s="195"/>
      <c r="V33" s="195"/>
      <c r="W33" s="195"/>
      <c r="X33" s="195"/>
      <c r="Y33" s="195"/>
      <c r="Z33" s="195"/>
      <c r="AA33" s="195"/>
      <c r="AB33" s="195"/>
      <c r="AC33" s="196"/>
      <c r="AD33" s="196"/>
      <c r="AE33" s="196"/>
      <c r="AF33" s="196"/>
      <c r="AG33" s="196"/>
      <c r="AH33" s="196"/>
      <c r="AI33" s="196"/>
      <c r="AJ33" s="195"/>
      <c r="AK33" s="195"/>
      <c r="AL33" s="195"/>
      <c r="AM33" s="195"/>
      <c r="AN33" s="195"/>
      <c r="AO33" s="195"/>
      <c r="AP33" s="195"/>
      <c r="AQ33" s="195"/>
      <c r="AR33" s="195"/>
      <c r="AS33" s="195"/>
      <c r="AT33" s="195"/>
      <c r="AU33" s="195"/>
      <c r="AV33" s="195"/>
      <c r="AW33" s="195"/>
      <c r="AX33" s="191">
        <v>20</v>
      </c>
      <c r="AY33" s="215">
        <v>20</v>
      </c>
      <c r="AZ33" s="207" t="s">
        <v>832</v>
      </c>
      <c r="BA33" s="217" t="s">
        <v>836</v>
      </c>
    </row>
    <row r="34" spans="1:53" s="187" customFormat="1">
      <c r="A34" s="188" t="s">
        <v>827</v>
      </c>
      <c r="B34" s="192">
        <v>1426</v>
      </c>
      <c r="C34" s="192">
        <v>1426</v>
      </c>
      <c r="D34" s="190" t="s">
        <v>895</v>
      </c>
      <c r="E34" s="191" t="s">
        <v>15</v>
      </c>
      <c r="F34" s="191" t="s">
        <v>59</v>
      </c>
      <c r="G34" s="191"/>
      <c r="H34" s="193">
        <f t="shared" si="9"/>
        <v>31.754999999999999</v>
      </c>
      <c r="I34" s="199">
        <v>8.6999999999999994E-2</v>
      </c>
      <c r="J34" s="194">
        <f t="shared" si="7"/>
        <v>2.61</v>
      </c>
      <c r="K34" s="194">
        <f t="shared" si="8"/>
        <v>28.835000000000001</v>
      </c>
      <c r="L34" s="199">
        <v>7.9000000000000001E-2</v>
      </c>
      <c r="M34" s="194">
        <f t="shared" si="3"/>
        <v>2.37</v>
      </c>
      <c r="N34" s="194">
        <f t="shared" si="4"/>
        <v>-7.9999999999999932E-3</v>
      </c>
      <c r="O34" s="195"/>
      <c r="P34" s="195"/>
      <c r="Q34" s="195"/>
      <c r="R34" s="195"/>
      <c r="S34" s="195"/>
      <c r="T34" s="195"/>
      <c r="U34" s="195"/>
      <c r="V34" s="195"/>
      <c r="W34" s="195"/>
      <c r="X34" s="195"/>
      <c r="Y34" s="195"/>
      <c r="Z34" s="195"/>
      <c r="AA34" s="195"/>
      <c r="AB34" s="195"/>
      <c r="AC34" s="196"/>
      <c r="AD34" s="196"/>
      <c r="AE34" s="196"/>
      <c r="AF34" s="196"/>
      <c r="AG34" s="196"/>
      <c r="AH34" s="196"/>
      <c r="AI34" s="196"/>
      <c r="AJ34" s="195"/>
      <c r="AK34" s="195"/>
      <c r="AL34" s="195"/>
      <c r="AM34" s="195"/>
      <c r="AN34" s="195"/>
      <c r="AO34" s="195"/>
      <c r="AP34" s="195"/>
      <c r="AQ34" s="195"/>
      <c r="AR34" s="195"/>
      <c r="AS34" s="195"/>
      <c r="AT34" s="195"/>
      <c r="AU34" s="195"/>
      <c r="AV34" s="195"/>
      <c r="AW34" s="195"/>
      <c r="AX34" s="192" t="s">
        <v>896</v>
      </c>
      <c r="AY34" s="192" t="s">
        <v>896</v>
      </c>
      <c r="AZ34" s="190" t="s">
        <v>897</v>
      </c>
      <c r="BA34" s="190" t="s">
        <v>836</v>
      </c>
    </row>
    <row r="35" spans="1:53" s="187" customFormat="1">
      <c r="A35" s="188" t="s">
        <v>827</v>
      </c>
      <c r="B35" s="192">
        <v>1455</v>
      </c>
      <c r="C35" s="192">
        <v>1455</v>
      </c>
      <c r="D35" s="190" t="s">
        <v>898</v>
      </c>
      <c r="E35" s="191" t="s">
        <v>15</v>
      </c>
      <c r="F35" s="191" t="s">
        <v>59</v>
      </c>
      <c r="G35" s="218">
        <v>41964</v>
      </c>
      <c r="H35" s="193">
        <f t="shared" si="9"/>
        <v>40.442</v>
      </c>
      <c r="I35" s="199">
        <v>0.1108</v>
      </c>
      <c r="J35" s="194">
        <f t="shared" si="7"/>
        <v>3.3239999999999998</v>
      </c>
      <c r="K35" s="194">
        <f t="shared" si="8"/>
        <v>44.675999999999995</v>
      </c>
      <c r="L35" s="199">
        <v>0.12239999999999999</v>
      </c>
      <c r="M35" s="194">
        <f t="shared" si="3"/>
        <v>3.6719999999999997</v>
      </c>
      <c r="N35" s="194">
        <f t="shared" si="4"/>
        <v>1.1599999999999999E-2</v>
      </c>
      <c r="O35" s="195"/>
      <c r="P35" s="195"/>
      <c r="Q35" s="195"/>
      <c r="R35" s="195"/>
      <c r="S35" s="195"/>
      <c r="T35" s="195"/>
      <c r="U35" s="195"/>
      <c r="V35" s="195"/>
      <c r="W35" s="195"/>
      <c r="X35" s="195"/>
      <c r="Y35" s="195"/>
      <c r="Z35" s="195"/>
      <c r="AA35" s="195"/>
      <c r="AB35" s="195"/>
      <c r="AC35" s="196"/>
      <c r="AD35" s="196"/>
      <c r="AE35" s="196"/>
      <c r="AF35" s="196"/>
      <c r="AG35" s="196"/>
      <c r="AH35" s="196"/>
      <c r="AI35" s="196"/>
      <c r="AJ35" s="195"/>
      <c r="AK35" s="195"/>
      <c r="AL35" s="195"/>
      <c r="AM35" s="195"/>
      <c r="AN35" s="195"/>
      <c r="AO35" s="195"/>
      <c r="AP35" s="195"/>
      <c r="AQ35" s="195"/>
      <c r="AR35" s="195"/>
      <c r="AS35" s="195"/>
      <c r="AT35" s="195"/>
      <c r="AU35" s="195"/>
      <c r="AV35" s="195"/>
      <c r="AW35" s="195"/>
      <c r="AX35" s="192">
        <v>20</v>
      </c>
      <c r="AY35" s="202">
        <v>20</v>
      </c>
      <c r="AZ35" s="207" t="s">
        <v>899</v>
      </c>
      <c r="BA35" s="201" t="s">
        <v>888</v>
      </c>
    </row>
    <row r="36" spans="1:53" s="187" customFormat="1">
      <c r="A36" s="188" t="s">
        <v>827</v>
      </c>
      <c r="B36" s="220">
        <v>1456</v>
      </c>
      <c r="C36" s="220">
        <v>1456</v>
      </c>
      <c r="D36" s="214" t="s">
        <v>900</v>
      </c>
      <c r="E36" s="191" t="s">
        <v>15</v>
      </c>
      <c r="F36" s="191" t="s">
        <v>59</v>
      </c>
      <c r="G36" s="191"/>
      <c r="H36" s="193">
        <f t="shared" si="9"/>
        <v>49.420999999999999</v>
      </c>
      <c r="I36" s="199">
        <v>0.13539999999999999</v>
      </c>
      <c r="J36" s="194">
        <f t="shared" si="7"/>
        <v>4.0619999999999994</v>
      </c>
      <c r="K36" s="194">
        <f t="shared" si="8"/>
        <v>49.420999999999999</v>
      </c>
      <c r="L36" s="199">
        <v>0.13539999999999999</v>
      </c>
      <c r="M36" s="194">
        <f t="shared" si="3"/>
        <v>4.0619999999999994</v>
      </c>
      <c r="N36" s="194">
        <f t="shared" si="4"/>
        <v>0</v>
      </c>
      <c r="O36" s="195"/>
      <c r="P36" s="195"/>
      <c r="Q36" s="195"/>
      <c r="R36" s="195"/>
      <c r="S36" s="195"/>
      <c r="T36" s="195"/>
      <c r="U36" s="195"/>
      <c r="V36" s="195"/>
      <c r="W36" s="195"/>
      <c r="X36" s="195"/>
      <c r="Y36" s="195"/>
      <c r="Z36" s="195"/>
      <c r="AA36" s="195"/>
      <c r="AB36" s="195"/>
      <c r="AC36" s="196"/>
      <c r="AD36" s="196"/>
      <c r="AE36" s="196"/>
      <c r="AF36" s="196"/>
      <c r="AG36" s="196"/>
      <c r="AH36" s="196"/>
      <c r="AI36" s="196"/>
      <c r="AJ36" s="195"/>
      <c r="AK36" s="195"/>
      <c r="AL36" s="195"/>
      <c r="AM36" s="195"/>
      <c r="AN36" s="195"/>
      <c r="AO36" s="195"/>
      <c r="AP36" s="195"/>
      <c r="AQ36" s="195"/>
      <c r="AR36" s="195"/>
      <c r="AS36" s="195"/>
      <c r="AT36" s="195"/>
      <c r="AU36" s="195"/>
      <c r="AV36" s="195"/>
      <c r="AW36" s="195"/>
      <c r="AX36" s="220">
        <v>20</v>
      </c>
      <c r="AY36" s="221" t="s">
        <v>851</v>
      </c>
      <c r="AZ36" s="216" t="s">
        <v>765</v>
      </c>
      <c r="BA36" s="222" t="s">
        <v>842</v>
      </c>
    </row>
    <row r="37" spans="1:53" s="187" customFormat="1">
      <c r="A37" s="188" t="s">
        <v>827</v>
      </c>
      <c r="B37" s="213">
        <v>1501</v>
      </c>
      <c r="C37" s="213">
        <v>1501</v>
      </c>
      <c r="D37" s="223" t="s">
        <v>901</v>
      </c>
      <c r="E37" s="191" t="s">
        <v>15</v>
      </c>
      <c r="F37" s="191" t="s">
        <v>59</v>
      </c>
      <c r="G37" s="224"/>
      <c r="H37" s="193">
        <f t="shared" si="9"/>
        <v>28.0685</v>
      </c>
      <c r="I37" s="219">
        <v>7.6899999999999996E-2</v>
      </c>
      <c r="J37" s="194">
        <f t="shared" si="7"/>
        <v>2.3069999999999999</v>
      </c>
      <c r="K37" s="194">
        <f t="shared" si="8"/>
        <v>28.0685</v>
      </c>
      <c r="L37" s="219">
        <v>7.6899999999999996E-2</v>
      </c>
      <c r="M37" s="194">
        <f t="shared" si="3"/>
        <v>2.3069999999999999</v>
      </c>
      <c r="N37" s="194">
        <f t="shared" si="4"/>
        <v>0</v>
      </c>
      <c r="O37" s="195"/>
      <c r="P37" s="195"/>
      <c r="Q37" s="195"/>
      <c r="R37" s="195"/>
      <c r="S37" s="195"/>
      <c r="T37" s="195"/>
      <c r="U37" s="195"/>
      <c r="V37" s="195"/>
      <c r="W37" s="195"/>
      <c r="X37" s="195"/>
      <c r="Y37" s="195"/>
      <c r="Z37" s="195"/>
      <c r="AA37" s="195"/>
      <c r="AB37" s="195"/>
      <c r="AC37" s="196"/>
      <c r="AD37" s="196"/>
      <c r="AE37" s="196"/>
      <c r="AF37" s="196"/>
      <c r="AG37" s="196"/>
      <c r="AH37" s="196"/>
      <c r="AI37" s="196"/>
      <c r="AJ37" s="195"/>
      <c r="AK37" s="195"/>
      <c r="AL37" s="195"/>
      <c r="AM37" s="195"/>
      <c r="AN37" s="195"/>
      <c r="AO37" s="195"/>
      <c r="AP37" s="195"/>
      <c r="AQ37" s="195"/>
      <c r="AR37" s="195"/>
      <c r="AS37" s="195"/>
      <c r="AT37" s="195"/>
      <c r="AU37" s="195"/>
      <c r="AV37" s="195"/>
      <c r="AW37" s="195"/>
      <c r="AX37" s="224">
        <v>20</v>
      </c>
      <c r="AY37" s="225">
        <v>20</v>
      </c>
      <c r="AZ37" s="216" t="s">
        <v>765</v>
      </c>
      <c r="BA37" s="222" t="s">
        <v>833</v>
      </c>
    </row>
    <row r="38" spans="1:53" s="187" customFormat="1" ht="16.899999999999999" customHeight="1">
      <c r="A38" s="188" t="s">
        <v>827</v>
      </c>
      <c r="B38" s="189">
        <v>1505</v>
      </c>
      <c r="C38" s="189">
        <v>1505</v>
      </c>
      <c r="D38" s="188" t="s">
        <v>902</v>
      </c>
      <c r="E38" s="191" t="s">
        <v>15</v>
      </c>
      <c r="F38" s="191" t="s">
        <v>59</v>
      </c>
      <c r="G38" s="191"/>
      <c r="H38" s="193">
        <f t="shared" si="9"/>
        <v>7.0445000000000002</v>
      </c>
      <c r="I38" s="219">
        <v>1.9300000000000001E-2</v>
      </c>
      <c r="J38" s="194">
        <f t="shared" si="7"/>
        <v>0.57900000000000007</v>
      </c>
      <c r="K38" s="194">
        <f t="shared" si="8"/>
        <v>7.0445000000000002</v>
      </c>
      <c r="L38" s="219">
        <v>1.9300000000000001E-2</v>
      </c>
      <c r="M38" s="194">
        <f t="shared" si="3"/>
        <v>0.57900000000000007</v>
      </c>
      <c r="N38" s="194">
        <f t="shared" si="4"/>
        <v>0</v>
      </c>
      <c r="O38" s="195"/>
      <c r="P38" s="195"/>
      <c r="Q38" s="195"/>
      <c r="R38" s="195"/>
      <c r="S38" s="195"/>
      <c r="T38" s="195"/>
      <c r="U38" s="195"/>
      <c r="V38" s="195"/>
      <c r="W38" s="195"/>
      <c r="X38" s="195"/>
      <c r="Y38" s="195"/>
      <c r="Z38" s="195"/>
      <c r="AA38" s="195"/>
      <c r="AB38" s="195"/>
      <c r="AC38" s="196"/>
      <c r="AD38" s="196"/>
      <c r="AE38" s="196"/>
      <c r="AF38" s="196"/>
      <c r="AG38" s="196"/>
      <c r="AH38" s="196"/>
      <c r="AI38" s="196"/>
      <c r="AJ38" s="195"/>
      <c r="AK38" s="195"/>
      <c r="AL38" s="195"/>
      <c r="AM38" s="195"/>
      <c r="AN38" s="195"/>
      <c r="AO38" s="195"/>
      <c r="AP38" s="195"/>
      <c r="AQ38" s="195"/>
      <c r="AR38" s="195"/>
      <c r="AS38" s="195"/>
      <c r="AT38" s="195"/>
      <c r="AU38" s="195"/>
      <c r="AV38" s="195"/>
      <c r="AW38" s="195"/>
      <c r="AX38" s="191">
        <v>20</v>
      </c>
      <c r="AY38" s="215">
        <v>20</v>
      </c>
      <c r="AZ38" s="207" t="s">
        <v>832</v>
      </c>
      <c r="BA38" s="208" t="s">
        <v>855</v>
      </c>
    </row>
    <row r="39" spans="1:53" s="187" customFormat="1" ht="16.899999999999999" customHeight="1">
      <c r="A39" s="188" t="s">
        <v>827</v>
      </c>
      <c r="B39" s="219">
        <v>1586</v>
      </c>
      <c r="C39" s="219">
        <v>1586</v>
      </c>
      <c r="D39" s="190" t="s">
        <v>903</v>
      </c>
      <c r="E39" s="191" t="s">
        <v>15</v>
      </c>
      <c r="F39" s="191" t="s">
        <v>59</v>
      </c>
      <c r="G39" s="192"/>
      <c r="H39" s="193">
        <f t="shared" si="9"/>
        <v>3.7230000000000003</v>
      </c>
      <c r="I39" s="219">
        <v>1.0200000000000001E-2</v>
      </c>
      <c r="J39" s="194">
        <f t="shared" si="7"/>
        <v>0.30600000000000005</v>
      </c>
      <c r="K39" s="194">
        <f t="shared" si="8"/>
        <v>3.7230000000000003</v>
      </c>
      <c r="L39" s="219">
        <v>1.0200000000000001E-2</v>
      </c>
      <c r="M39" s="194">
        <f t="shared" si="3"/>
        <v>0.30600000000000005</v>
      </c>
      <c r="N39" s="194">
        <f t="shared" si="4"/>
        <v>0</v>
      </c>
      <c r="O39" s="195"/>
      <c r="P39" s="195"/>
      <c r="Q39" s="195"/>
      <c r="R39" s="195"/>
      <c r="S39" s="195"/>
      <c r="T39" s="195"/>
      <c r="U39" s="195"/>
      <c r="V39" s="195"/>
      <c r="W39" s="195"/>
      <c r="X39" s="195"/>
      <c r="Y39" s="195"/>
      <c r="Z39" s="195"/>
      <c r="AA39" s="195"/>
      <c r="AB39" s="195"/>
      <c r="AC39" s="196"/>
      <c r="AD39" s="196"/>
      <c r="AE39" s="196"/>
      <c r="AF39" s="196"/>
      <c r="AG39" s="196"/>
      <c r="AH39" s="196"/>
      <c r="AI39" s="196"/>
      <c r="AJ39" s="195"/>
      <c r="AK39" s="195"/>
      <c r="AL39" s="195"/>
      <c r="AM39" s="195"/>
      <c r="AN39" s="195"/>
      <c r="AO39" s="195"/>
      <c r="AP39" s="195"/>
      <c r="AQ39" s="195"/>
      <c r="AR39" s="195"/>
      <c r="AS39" s="195"/>
      <c r="AT39" s="195"/>
      <c r="AU39" s="195"/>
      <c r="AV39" s="195"/>
      <c r="AW39" s="195"/>
      <c r="AX39" s="226" t="s">
        <v>482</v>
      </c>
      <c r="AY39" s="226" t="s">
        <v>482</v>
      </c>
      <c r="AZ39" s="227" t="s">
        <v>849</v>
      </c>
      <c r="BA39" s="228" t="s">
        <v>855</v>
      </c>
    </row>
    <row r="40" spans="1:53" s="187" customFormat="1">
      <c r="A40" s="188" t="s">
        <v>827</v>
      </c>
      <c r="B40" s="219">
        <v>1592</v>
      </c>
      <c r="C40" s="219">
        <v>1592</v>
      </c>
      <c r="D40" s="190" t="s">
        <v>904</v>
      </c>
      <c r="E40" s="191" t="s">
        <v>155</v>
      </c>
      <c r="F40" s="191" t="s">
        <v>59</v>
      </c>
      <c r="G40" s="192"/>
      <c r="H40" s="193">
        <v>10.585000000000001</v>
      </c>
      <c r="I40" s="199">
        <v>0</v>
      </c>
      <c r="J40" s="194">
        <v>0.19900000000000001</v>
      </c>
      <c r="K40" s="194">
        <f t="shared" si="8"/>
        <v>10.585000000000001</v>
      </c>
      <c r="L40" s="199">
        <v>2.9000000000000001E-2</v>
      </c>
      <c r="M40" s="194">
        <v>0.19900000000000001</v>
      </c>
      <c r="N40" s="194">
        <f t="shared" si="4"/>
        <v>2.9000000000000001E-2</v>
      </c>
      <c r="O40" s="195"/>
      <c r="P40" s="195"/>
      <c r="Q40" s="195"/>
      <c r="R40" s="195"/>
      <c r="S40" s="195"/>
      <c r="T40" s="195"/>
      <c r="U40" s="195"/>
      <c r="V40" s="195"/>
      <c r="W40" s="195"/>
      <c r="X40" s="195"/>
      <c r="Y40" s="195"/>
      <c r="Z40" s="195"/>
      <c r="AA40" s="195"/>
      <c r="AB40" s="195"/>
      <c r="AC40" s="196"/>
      <c r="AD40" s="196"/>
      <c r="AE40" s="196"/>
      <c r="AF40" s="196"/>
      <c r="AG40" s="196"/>
      <c r="AH40" s="196"/>
      <c r="AI40" s="196"/>
      <c r="AJ40" s="195"/>
      <c r="AK40" s="195"/>
      <c r="AL40" s="195"/>
      <c r="AM40" s="195"/>
      <c r="AN40" s="195"/>
      <c r="AO40" s="195"/>
      <c r="AP40" s="195"/>
      <c r="AQ40" s="195"/>
      <c r="AR40" s="195"/>
      <c r="AS40" s="195"/>
      <c r="AT40" s="195"/>
      <c r="AU40" s="195"/>
      <c r="AV40" s="195"/>
      <c r="AW40" s="195"/>
      <c r="AX40" s="226">
        <v>20</v>
      </c>
      <c r="AY40" s="226">
        <v>20</v>
      </c>
      <c r="AZ40" s="227" t="s">
        <v>832</v>
      </c>
      <c r="BA40" s="188" t="s">
        <v>855</v>
      </c>
    </row>
    <row r="41" spans="1:53" s="187" customFormat="1">
      <c r="A41" s="188" t="s">
        <v>827</v>
      </c>
      <c r="B41" s="192">
        <v>1601</v>
      </c>
      <c r="C41" s="192">
        <v>1601</v>
      </c>
      <c r="D41" s="190" t="s">
        <v>905</v>
      </c>
      <c r="E41" s="191" t="s">
        <v>15</v>
      </c>
      <c r="F41" s="191" t="s">
        <v>59</v>
      </c>
      <c r="G41" s="191"/>
      <c r="H41" s="193">
        <f>I41*365</f>
        <v>3.3580000000000001</v>
      </c>
      <c r="I41" s="199">
        <v>9.1999999999999998E-3</v>
      </c>
      <c r="J41" s="194">
        <f t="shared" ref="J41:J97" si="10">I41*30</f>
        <v>0.27600000000000002</v>
      </c>
      <c r="K41" s="194">
        <f t="shared" si="8"/>
        <v>3.3580000000000001</v>
      </c>
      <c r="L41" s="199">
        <v>9.1999999999999998E-3</v>
      </c>
      <c r="M41" s="194">
        <f t="shared" ref="M41:M97" si="11">L41*30</f>
        <v>0.27600000000000002</v>
      </c>
      <c r="N41" s="194">
        <f t="shared" si="4"/>
        <v>0</v>
      </c>
      <c r="O41" s="195"/>
      <c r="P41" s="195"/>
      <c r="Q41" s="195"/>
      <c r="R41" s="195"/>
      <c r="S41" s="195"/>
      <c r="T41" s="195"/>
      <c r="U41" s="195"/>
      <c r="V41" s="195"/>
      <c r="W41" s="195"/>
      <c r="X41" s="195"/>
      <c r="Y41" s="195"/>
      <c r="Z41" s="195"/>
      <c r="AA41" s="195"/>
      <c r="AB41" s="195"/>
      <c r="AC41" s="196"/>
      <c r="AD41" s="196"/>
      <c r="AE41" s="196"/>
      <c r="AF41" s="196"/>
      <c r="AG41" s="196"/>
      <c r="AH41" s="196"/>
      <c r="AI41" s="196"/>
      <c r="AJ41" s="195"/>
      <c r="AK41" s="195"/>
      <c r="AL41" s="195"/>
      <c r="AM41" s="195"/>
      <c r="AN41" s="195"/>
      <c r="AO41" s="195"/>
      <c r="AP41" s="195"/>
      <c r="AQ41" s="195"/>
      <c r="AR41" s="195"/>
      <c r="AS41" s="195"/>
      <c r="AT41" s="195"/>
      <c r="AU41" s="195"/>
      <c r="AV41" s="195"/>
      <c r="AW41" s="195"/>
      <c r="AX41" s="192">
        <v>20</v>
      </c>
      <c r="AY41" s="202" t="s">
        <v>851</v>
      </c>
      <c r="AZ41" s="190" t="s">
        <v>832</v>
      </c>
      <c r="BA41" s="190" t="s">
        <v>855</v>
      </c>
    </row>
    <row r="42" spans="1:53" s="187" customFormat="1">
      <c r="A42" s="188" t="s">
        <v>827</v>
      </c>
      <c r="B42" s="192">
        <v>1602</v>
      </c>
      <c r="C42" s="192">
        <v>1602</v>
      </c>
      <c r="D42" s="190" t="s">
        <v>906</v>
      </c>
      <c r="E42" s="191" t="s">
        <v>15</v>
      </c>
      <c r="F42" s="191" t="s">
        <v>59</v>
      </c>
      <c r="G42" s="191"/>
      <c r="H42" s="193">
        <v>1.8E-3</v>
      </c>
      <c r="I42" s="199">
        <v>1.8E-3</v>
      </c>
      <c r="J42" s="194">
        <f t="shared" si="10"/>
        <v>5.3999999999999999E-2</v>
      </c>
      <c r="K42" s="194">
        <f t="shared" si="8"/>
        <v>0.65700000000000003</v>
      </c>
      <c r="L42" s="199">
        <v>1.8E-3</v>
      </c>
      <c r="M42" s="194">
        <f t="shared" si="11"/>
        <v>5.3999999999999999E-2</v>
      </c>
      <c r="N42" s="194">
        <f t="shared" si="4"/>
        <v>0</v>
      </c>
      <c r="O42" s="195"/>
      <c r="P42" s="195"/>
      <c r="Q42" s="195"/>
      <c r="R42" s="195"/>
      <c r="S42" s="195"/>
      <c r="T42" s="195"/>
      <c r="U42" s="195"/>
      <c r="V42" s="195"/>
      <c r="W42" s="195"/>
      <c r="X42" s="195"/>
      <c r="Y42" s="195"/>
      <c r="Z42" s="195"/>
      <c r="AA42" s="195"/>
      <c r="AB42" s="195"/>
      <c r="AC42" s="196"/>
      <c r="AD42" s="196"/>
      <c r="AE42" s="196"/>
      <c r="AF42" s="196"/>
      <c r="AG42" s="196"/>
      <c r="AH42" s="196"/>
      <c r="AI42" s="196"/>
      <c r="AJ42" s="195"/>
      <c r="AK42" s="195"/>
      <c r="AL42" s="195"/>
      <c r="AM42" s="195"/>
      <c r="AN42" s="195"/>
      <c r="AO42" s="195"/>
      <c r="AP42" s="195"/>
      <c r="AQ42" s="195"/>
      <c r="AR42" s="195"/>
      <c r="AS42" s="195"/>
      <c r="AT42" s="195"/>
      <c r="AU42" s="195"/>
      <c r="AV42" s="195"/>
      <c r="AW42" s="195"/>
      <c r="AX42" s="226" t="s">
        <v>515</v>
      </c>
      <c r="AY42" s="226" t="s">
        <v>515</v>
      </c>
      <c r="AZ42" s="190" t="s">
        <v>907</v>
      </c>
      <c r="BA42" s="190" t="s">
        <v>908</v>
      </c>
    </row>
    <row r="43" spans="1:53" s="187" customFormat="1">
      <c r="A43" s="188" t="s">
        <v>827</v>
      </c>
      <c r="B43" s="192">
        <v>1616</v>
      </c>
      <c r="C43" s="192">
        <v>1616</v>
      </c>
      <c r="D43" s="190" t="s">
        <v>909</v>
      </c>
      <c r="E43" s="191" t="s">
        <v>15</v>
      </c>
      <c r="F43" s="191" t="s">
        <v>56</v>
      </c>
      <c r="G43" s="191" t="s">
        <v>782</v>
      </c>
      <c r="H43" s="193">
        <f t="shared" ref="H43:H81" si="12">I43*365</f>
        <v>59.495000000000005</v>
      </c>
      <c r="I43" s="199">
        <v>0.16300000000000001</v>
      </c>
      <c r="J43" s="194">
        <f t="shared" si="10"/>
        <v>4.8900000000000006</v>
      </c>
      <c r="K43" s="194">
        <f t="shared" si="8"/>
        <v>36.5</v>
      </c>
      <c r="L43" s="199">
        <v>0.1</v>
      </c>
      <c r="M43" s="194">
        <f t="shared" si="11"/>
        <v>3</v>
      </c>
      <c r="N43" s="194">
        <f t="shared" si="4"/>
        <v>-6.3E-2</v>
      </c>
      <c r="O43" s="195"/>
      <c r="P43" s="195"/>
      <c r="Q43" s="195"/>
      <c r="R43" s="195"/>
      <c r="S43" s="195"/>
      <c r="T43" s="195"/>
      <c r="U43" s="195"/>
      <c r="V43" s="195"/>
      <c r="W43" s="195"/>
      <c r="X43" s="195"/>
      <c r="Y43" s="195"/>
      <c r="Z43" s="195"/>
      <c r="AA43" s="195"/>
      <c r="AB43" s="195"/>
      <c r="AC43" s="196"/>
      <c r="AD43" s="196"/>
      <c r="AE43" s="196"/>
      <c r="AF43" s="196"/>
      <c r="AG43" s="196"/>
      <c r="AH43" s="196"/>
      <c r="AI43" s="196"/>
      <c r="AJ43" s="195"/>
      <c r="AK43" s="195"/>
      <c r="AL43" s="195"/>
      <c r="AM43" s="195"/>
      <c r="AN43" s="195"/>
      <c r="AO43" s="195"/>
      <c r="AP43" s="195"/>
      <c r="AQ43" s="195"/>
      <c r="AR43" s="195"/>
      <c r="AS43" s="195"/>
      <c r="AT43" s="195"/>
      <c r="AU43" s="195"/>
      <c r="AV43" s="195"/>
      <c r="AW43" s="195"/>
      <c r="AX43" s="192">
        <v>20</v>
      </c>
      <c r="AY43" s="202">
        <v>20</v>
      </c>
      <c r="AZ43" s="190" t="s">
        <v>910</v>
      </c>
      <c r="BA43" s="201" t="s">
        <v>830</v>
      </c>
    </row>
    <row r="44" spans="1:53" s="187" customFormat="1">
      <c r="A44" s="188" t="s">
        <v>827</v>
      </c>
      <c r="B44" s="219">
        <v>1618</v>
      </c>
      <c r="C44" s="219">
        <v>1618</v>
      </c>
      <c r="D44" s="190" t="s">
        <v>911</v>
      </c>
      <c r="E44" s="191" t="s">
        <v>15</v>
      </c>
      <c r="F44" s="191" t="s">
        <v>59</v>
      </c>
      <c r="G44" s="192"/>
      <c r="H44" s="193">
        <f t="shared" si="12"/>
        <v>14.125499999999999</v>
      </c>
      <c r="I44" s="199">
        <v>3.8699999999999998E-2</v>
      </c>
      <c r="J44" s="194">
        <f t="shared" si="10"/>
        <v>1.161</v>
      </c>
      <c r="K44" s="194">
        <f t="shared" si="8"/>
        <v>14.125499999999999</v>
      </c>
      <c r="L44" s="199">
        <v>3.8699999999999998E-2</v>
      </c>
      <c r="M44" s="194">
        <f t="shared" si="11"/>
        <v>1.161</v>
      </c>
      <c r="N44" s="194">
        <f t="shared" si="4"/>
        <v>0</v>
      </c>
      <c r="O44" s="195"/>
      <c r="P44" s="195"/>
      <c r="Q44" s="195"/>
      <c r="R44" s="195"/>
      <c r="S44" s="195"/>
      <c r="T44" s="195"/>
      <c r="U44" s="195"/>
      <c r="V44" s="195"/>
      <c r="W44" s="195"/>
      <c r="X44" s="195"/>
      <c r="Y44" s="195"/>
      <c r="Z44" s="195"/>
      <c r="AA44" s="195"/>
      <c r="AB44" s="195"/>
      <c r="AC44" s="196"/>
      <c r="AD44" s="196"/>
      <c r="AE44" s="196"/>
      <c r="AF44" s="196"/>
      <c r="AG44" s="196"/>
      <c r="AH44" s="196"/>
      <c r="AI44" s="196"/>
      <c r="AJ44" s="195"/>
      <c r="AK44" s="195"/>
      <c r="AL44" s="195"/>
      <c r="AM44" s="195"/>
      <c r="AN44" s="195"/>
      <c r="AO44" s="195"/>
      <c r="AP44" s="195"/>
      <c r="AQ44" s="195"/>
      <c r="AR44" s="195"/>
      <c r="AS44" s="195"/>
      <c r="AT44" s="195"/>
      <c r="AU44" s="195"/>
      <c r="AV44" s="195"/>
      <c r="AW44" s="195"/>
      <c r="AX44" s="226">
        <v>20</v>
      </c>
      <c r="AY44" s="226" t="s">
        <v>851</v>
      </c>
      <c r="AZ44" s="227" t="s">
        <v>832</v>
      </c>
      <c r="BA44" s="209" t="s">
        <v>842</v>
      </c>
    </row>
    <row r="45" spans="1:53" s="187" customFormat="1">
      <c r="A45" s="188" t="s">
        <v>827</v>
      </c>
      <c r="B45" s="219">
        <v>1658</v>
      </c>
      <c r="C45" s="219">
        <v>1658</v>
      </c>
      <c r="D45" s="190" t="s">
        <v>912</v>
      </c>
      <c r="E45" s="191" t="s">
        <v>155</v>
      </c>
      <c r="F45" s="191" t="s">
        <v>59</v>
      </c>
      <c r="G45" s="192"/>
      <c r="H45" s="193">
        <f t="shared" si="12"/>
        <v>15.476000000000001</v>
      </c>
      <c r="I45" s="199">
        <v>4.24E-2</v>
      </c>
      <c r="J45" s="194">
        <f t="shared" si="10"/>
        <v>1.272</v>
      </c>
      <c r="K45" s="194">
        <f t="shared" si="8"/>
        <v>15.476000000000001</v>
      </c>
      <c r="L45" s="199">
        <v>4.24E-2</v>
      </c>
      <c r="M45" s="194">
        <f t="shared" si="11"/>
        <v>1.272</v>
      </c>
      <c r="N45" s="194">
        <f t="shared" si="4"/>
        <v>0</v>
      </c>
      <c r="O45" s="195"/>
      <c r="P45" s="195"/>
      <c r="Q45" s="195"/>
      <c r="R45" s="195"/>
      <c r="S45" s="195"/>
      <c r="T45" s="195"/>
      <c r="U45" s="195"/>
      <c r="V45" s="195"/>
      <c r="W45" s="195"/>
      <c r="X45" s="195"/>
      <c r="Y45" s="195"/>
      <c r="Z45" s="195"/>
      <c r="AA45" s="195"/>
      <c r="AB45" s="195"/>
      <c r="AC45" s="196"/>
      <c r="AD45" s="196"/>
      <c r="AE45" s="196"/>
      <c r="AF45" s="196"/>
      <c r="AG45" s="196"/>
      <c r="AH45" s="196"/>
      <c r="AI45" s="196"/>
      <c r="AJ45" s="195"/>
      <c r="AK45" s="195"/>
      <c r="AL45" s="195"/>
      <c r="AM45" s="195"/>
      <c r="AN45" s="195"/>
      <c r="AO45" s="195"/>
      <c r="AP45" s="195"/>
      <c r="AQ45" s="195"/>
      <c r="AR45" s="195"/>
      <c r="AS45" s="195"/>
      <c r="AT45" s="195"/>
      <c r="AU45" s="195"/>
      <c r="AV45" s="195"/>
      <c r="AW45" s="195"/>
      <c r="AX45" s="226">
        <v>20</v>
      </c>
      <c r="AY45" s="226">
        <v>20</v>
      </c>
      <c r="AZ45" s="227" t="s">
        <v>832</v>
      </c>
      <c r="BA45" s="229" t="s">
        <v>830</v>
      </c>
    </row>
    <row r="46" spans="1:53" s="187" customFormat="1">
      <c r="A46" s="188" t="s">
        <v>827</v>
      </c>
      <c r="B46" s="189">
        <v>1663</v>
      </c>
      <c r="C46" s="189">
        <v>1663</v>
      </c>
      <c r="D46" s="190" t="s">
        <v>913</v>
      </c>
      <c r="E46" s="191" t="s">
        <v>15</v>
      </c>
      <c r="F46" s="191" t="s">
        <v>59</v>
      </c>
      <c r="G46" s="191"/>
      <c r="H46" s="193">
        <f t="shared" si="12"/>
        <v>10.292999999999999</v>
      </c>
      <c r="I46" s="199">
        <v>2.8199999999999999E-2</v>
      </c>
      <c r="J46" s="194">
        <f t="shared" si="10"/>
        <v>0.84599999999999997</v>
      </c>
      <c r="K46" s="194">
        <f t="shared" si="8"/>
        <v>10.292999999999999</v>
      </c>
      <c r="L46" s="199">
        <v>2.8199999999999999E-2</v>
      </c>
      <c r="M46" s="194">
        <f t="shared" si="11"/>
        <v>0.84599999999999997</v>
      </c>
      <c r="N46" s="194">
        <f t="shared" si="4"/>
        <v>0</v>
      </c>
      <c r="O46" s="195"/>
      <c r="P46" s="195"/>
      <c r="Q46" s="195"/>
      <c r="R46" s="195"/>
      <c r="S46" s="195"/>
      <c r="T46" s="195"/>
      <c r="U46" s="195"/>
      <c r="V46" s="195"/>
      <c r="W46" s="195"/>
      <c r="X46" s="195"/>
      <c r="Y46" s="195"/>
      <c r="Z46" s="195"/>
      <c r="AA46" s="195"/>
      <c r="AB46" s="195"/>
      <c r="AC46" s="196"/>
      <c r="AD46" s="196"/>
      <c r="AE46" s="196"/>
      <c r="AF46" s="196"/>
      <c r="AG46" s="196"/>
      <c r="AH46" s="196"/>
      <c r="AI46" s="196"/>
      <c r="AJ46" s="195"/>
      <c r="AK46" s="195"/>
      <c r="AL46" s="195"/>
      <c r="AM46" s="195"/>
      <c r="AN46" s="195"/>
      <c r="AO46" s="195"/>
      <c r="AP46" s="195"/>
      <c r="AQ46" s="195"/>
      <c r="AR46" s="195"/>
      <c r="AS46" s="195"/>
      <c r="AT46" s="195"/>
      <c r="AU46" s="195"/>
      <c r="AV46" s="195"/>
      <c r="AW46" s="195"/>
      <c r="AX46" s="191">
        <v>20</v>
      </c>
      <c r="AY46" s="215" t="s">
        <v>851</v>
      </c>
      <c r="AZ46" s="207" t="s">
        <v>765</v>
      </c>
      <c r="BA46" s="198" t="s">
        <v>830</v>
      </c>
    </row>
    <row r="47" spans="1:53" s="187" customFormat="1">
      <c r="A47" s="188" t="s">
        <v>827</v>
      </c>
      <c r="B47" s="189">
        <v>1667</v>
      </c>
      <c r="C47" s="189">
        <v>1667</v>
      </c>
      <c r="D47" s="190" t="s">
        <v>914</v>
      </c>
      <c r="E47" s="191" t="s">
        <v>15</v>
      </c>
      <c r="F47" s="191" t="s">
        <v>59</v>
      </c>
      <c r="G47" s="191"/>
      <c r="H47" s="193">
        <f t="shared" si="12"/>
        <v>28.543000000000003</v>
      </c>
      <c r="I47" s="194">
        <v>7.8200000000000006E-2</v>
      </c>
      <c r="J47" s="194">
        <f t="shared" si="10"/>
        <v>2.3460000000000001</v>
      </c>
      <c r="K47" s="194">
        <f t="shared" si="8"/>
        <v>28.543000000000003</v>
      </c>
      <c r="L47" s="194">
        <v>7.8200000000000006E-2</v>
      </c>
      <c r="M47" s="194">
        <f t="shared" si="11"/>
        <v>2.3460000000000001</v>
      </c>
      <c r="N47" s="194">
        <f t="shared" si="4"/>
        <v>0</v>
      </c>
      <c r="O47" s="195"/>
      <c r="P47" s="195"/>
      <c r="Q47" s="195"/>
      <c r="R47" s="195"/>
      <c r="S47" s="195"/>
      <c r="T47" s="195"/>
      <c r="U47" s="195"/>
      <c r="V47" s="195"/>
      <c r="W47" s="195"/>
      <c r="X47" s="195"/>
      <c r="Y47" s="195"/>
      <c r="Z47" s="195"/>
      <c r="AA47" s="195"/>
      <c r="AB47" s="195"/>
      <c r="AC47" s="196"/>
      <c r="AD47" s="196"/>
      <c r="AE47" s="196"/>
      <c r="AF47" s="196"/>
      <c r="AG47" s="196"/>
      <c r="AH47" s="196"/>
      <c r="AI47" s="196"/>
      <c r="AJ47" s="195"/>
      <c r="AK47" s="195"/>
      <c r="AL47" s="195"/>
      <c r="AM47" s="195"/>
      <c r="AN47" s="195"/>
      <c r="AO47" s="195"/>
      <c r="AP47" s="195"/>
      <c r="AQ47" s="195"/>
      <c r="AR47" s="195"/>
      <c r="AS47" s="195"/>
      <c r="AT47" s="195"/>
      <c r="AU47" s="195"/>
      <c r="AV47" s="195"/>
      <c r="AW47" s="195"/>
      <c r="AX47" s="191">
        <v>20</v>
      </c>
      <c r="AY47" s="215" t="s">
        <v>851</v>
      </c>
      <c r="AZ47" s="207" t="s">
        <v>835</v>
      </c>
      <c r="BA47" s="229" t="s">
        <v>915</v>
      </c>
    </row>
    <row r="48" spans="1:53" s="187" customFormat="1">
      <c r="A48" s="188" t="s">
        <v>827</v>
      </c>
      <c r="B48" s="189">
        <v>1676</v>
      </c>
      <c r="C48" s="189">
        <v>1676</v>
      </c>
      <c r="D48" s="188" t="s">
        <v>916</v>
      </c>
      <c r="E48" s="191" t="s">
        <v>15</v>
      </c>
      <c r="F48" s="191" t="s">
        <v>59</v>
      </c>
      <c r="G48" s="191"/>
      <c r="H48" s="193">
        <f t="shared" si="12"/>
        <v>17.337499999999999</v>
      </c>
      <c r="I48" s="230">
        <v>4.7500000000000001E-2</v>
      </c>
      <c r="J48" s="194">
        <f t="shared" si="10"/>
        <v>1.425</v>
      </c>
      <c r="K48" s="194">
        <f t="shared" si="8"/>
        <v>17.337499999999999</v>
      </c>
      <c r="L48" s="230">
        <v>4.7500000000000001E-2</v>
      </c>
      <c r="M48" s="194">
        <f t="shared" si="11"/>
        <v>1.425</v>
      </c>
      <c r="N48" s="194">
        <f t="shared" si="4"/>
        <v>0</v>
      </c>
      <c r="O48" s="195"/>
      <c r="P48" s="195"/>
      <c r="Q48" s="195"/>
      <c r="R48" s="195"/>
      <c r="S48" s="195"/>
      <c r="T48" s="195"/>
      <c r="U48" s="195"/>
      <c r="V48" s="195"/>
      <c r="W48" s="195"/>
      <c r="X48" s="195"/>
      <c r="Y48" s="195"/>
      <c r="Z48" s="195"/>
      <c r="AA48" s="195"/>
      <c r="AB48" s="195"/>
      <c r="AC48" s="196"/>
      <c r="AD48" s="196"/>
      <c r="AE48" s="196"/>
      <c r="AF48" s="196"/>
      <c r="AG48" s="196"/>
      <c r="AH48" s="196"/>
      <c r="AI48" s="196"/>
      <c r="AJ48" s="195"/>
      <c r="AK48" s="195"/>
      <c r="AL48" s="195"/>
      <c r="AM48" s="195"/>
      <c r="AN48" s="195"/>
      <c r="AO48" s="195"/>
      <c r="AP48" s="195"/>
      <c r="AQ48" s="195"/>
      <c r="AR48" s="195"/>
      <c r="AS48" s="195"/>
      <c r="AT48" s="195"/>
      <c r="AU48" s="195"/>
      <c r="AV48" s="195"/>
      <c r="AW48" s="195"/>
      <c r="AX48" s="191">
        <v>20</v>
      </c>
      <c r="AY48" s="215">
        <v>20</v>
      </c>
      <c r="AZ48" s="231" t="s">
        <v>765</v>
      </c>
      <c r="BA48" s="208" t="s">
        <v>908</v>
      </c>
    </row>
    <row r="49" spans="1:53" s="187" customFormat="1">
      <c r="A49" s="188" t="s">
        <v>827</v>
      </c>
      <c r="B49" s="213">
        <v>1695</v>
      </c>
      <c r="C49" s="213">
        <v>1695</v>
      </c>
      <c r="D49" s="223" t="s">
        <v>917</v>
      </c>
      <c r="E49" s="191" t="s">
        <v>15</v>
      </c>
      <c r="F49" s="191" t="s">
        <v>59</v>
      </c>
      <c r="G49" s="224"/>
      <c r="H49" s="193">
        <f t="shared" si="12"/>
        <v>0</v>
      </c>
      <c r="I49" s="232">
        <v>0</v>
      </c>
      <c r="J49" s="233">
        <f t="shared" si="10"/>
        <v>0</v>
      </c>
      <c r="K49" s="233">
        <f t="shared" si="8"/>
        <v>6.9349999999999996</v>
      </c>
      <c r="L49" s="232">
        <v>1.9E-2</v>
      </c>
      <c r="M49" s="194">
        <f t="shared" si="11"/>
        <v>0.56999999999999995</v>
      </c>
      <c r="N49" s="194">
        <f t="shared" si="4"/>
        <v>1.9E-2</v>
      </c>
      <c r="O49" s="195"/>
      <c r="P49" s="195"/>
      <c r="Q49" s="195"/>
      <c r="R49" s="195"/>
      <c r="S49" s="195"/>
      <c r="T49" s="195"/>
      <c r="U49" s="195"/>
      <c r="V49" s="195"/>
      <c r="W49" s="195"/>
      <c r="X49" s="195"/>
      <c r="Y49" s="195"/>
      <c r="Z49" s="195"/>
      <c r="AA49" s="195"/>
      <c r="AB49" s="195"/>
      <c r="AC49" s="196"/>
      <c r="AD49" s="196"/>
      <c r="AE49" s="196"/>
      <c r="AF49" s="196"/>
      <c r="AG49" s="196"/>
      <c r="AH49" s="196"/>
      <c r="AI49" s="196"/>
      <c r="AJ49" s="195"/>
      <c r="AK49" s="195"/>
      <c r="AL49" s="195"/>
      <c r="AM49" s="195"/>
      <c r="AN49" s="195"/>
      <c r="AO49" s="195"/>
      <c r="AP49" s="195"/>
      <c r="AQ49" s="195"/>
      <c r="AR49" s="195"/>
      <c r="AS49" s="195"/>
      <c r="AT49" s="195"/>
      <c r="AU49" s="195"/>
      <c r="AV49" s="195"/>
      <c r="AW49" s="195"/>
      <c r="AX49" s="224">
        <v>10</v>
      </c>
      <c r="AY49" s="225" t="s">
        <v>851</v>
      </c>
      <c r="AZ49" s="234" t="s">
        <v>918</v>
      </c>
      <c r="BA49" s="222" t="s">
        <v>919</v>
      </c>
    </row>
    <row r="50" spans="1:53" s="187" customFormat="1" ht="15.6" customHeight="1">
      <c r="A50" s="188" t="s">
        <v>827</v>
      </c>
      <c r="B50" s="220">
        <v>1697</v>
      </c>
      <c r="C50" s="220">
        <v>1697</v>
      </c>
      <c r="D50" s="214" t="s">
        <v>920</v>
      </c>
      <c r="E50" s="191" t="s">
        <v>921</v>
      </c>
      <c r="F50" s="191" t="s">
        <v>59</v>
      </c>
      <c r="G50" s="191" t="s">
        <v>782</v>
      </c>
      <c r="H50" s="193">
        <f t="shared" si="12"/>
        <v>11.168999999999999</v>
      </c>
      <c r="I50" s="199">
        <v>3.0599999999999999E-2</v>
      </c>
      <c r="J50" s="194">
        <f t="shared" si="10"/>
        <v>0.91799999999999993</v>
      </c>
      <c r="K50" s="194">
        <f t="shared" si="8"/>
        <v>11.168999999999999</v>
      </c>
      <c r="L50" s="199">
        <v>3.0599999999999999E-2</v>
      </c>
      <c r="M50" s="194">
        <f t="shared" si="11"/>
        <v>0.91799999999999993</v>
      </c>
      <c r="N50" s="194">
        <f t="shared" si="4"/>
        <v>0</v>
      </c>
      <c r="O50" s="195"/>
      <c r="P50" s="195"/>
      <c r="Q50" s="195"/>
      <c r="R50" s="195"/>
      <c r="S50" s="195"/>
      <c r="T50" s="195"/>
      <c r="U50" s="195"/>
      <c r="V50" s="195"/>
      <c r="W50" s="195"/>
      <c r="X50" s="195"/>
      <c r="Y50" s="195"/>
      <c r="Z50" s="195"/>
      <c r="AA50" s="195"/>
      <c r="AB50" s="195"/>
      <c r="AC50" s="196"/>
      <c r="AD50" s="196"/>
      <c r="AE50" s="196"/>
      <c r="AF50" s="196"/>
      <c r="AG50" s="196"/>
      <c r="AH50" s="196"/>
      <c r="AI50" s="196"/>
      <c r="AJ50" s="195"/>
      <c r="AK50" s="195"/>
      <c r="AL50" s="195"/>
      <c r="AM50" s="195"/>
      <c r="AN50" s="195"/>
      <c r="AO50" s="195"/>
      <c r="AP50" s="195"/>
      <c r="AQ50" s="195"/>
      <c r="AR50" s="195"/>
      <c r="AS50" s="195"/>
      <c r="AT50" s="195"/>
      <c r="AU50" s="195"/>
      <c r="AV50" s="195"/>
      <c r="AW50" s="195"/>
      <c r="AX50" s="220">
        <v>20</v>
      </c>
      <c r="AY50" s="221" t="s">
        <v>851</v>
      </c>
      <c r="AZ50" s="214" t="s">
        <v>922</v>
      </c>
      <c r="BA50" s="235" t="s">
        <v>923</v>
      </c>
    </row>
    <row r="51" spans="1:53" s="187" customFormat="1">
      <c r="A51" s="188" t="s">
        <v>827</v>
      </c>
      <c r="B51" s="189">
        <v>1731</v>
      </c>
      <c r="C51" s="189">
        <v>1731</v>
      </c>
      <c r="D51" s="188" t="s">
        <v>924</v>
      </c>
      <c r="E51" s="191" t="s">
        <v>15</v>
      </c>
      <c r="F51" s="191" t="s">
        <v>59</v>
      </c>
      <c r="G51" s="191"/>
      <c r="H51" s="193">
        <f t="shared" si="12"/>
        <v>11.168999999999999</v>
      </c>
      <c r="I51" s="219">
        <v>3.0599999999999999E-2</v>
      </c>
      <c r="J51" s="194">
        <f t="shared" si="10"/>
        <v>0.91799999999999993</v>
      </c>
      <c r="K51" s="194">
        <f t="shared" si="8"/>
        <v>11.168999999999999</v>
      </c>
      <c r="L51" s="219">
        <v>3.0599999999999999E-2</v>
      </c>
      <c r="M51" s="194">
        <f t="shared" si="11"/>
        <v>0.91799999999999993</v>
      </c>
      <c r="N51" s="194">
        <f t="shared" si="4"/>
        <v>0</v>
      </c>
      <c r="O51" s="195"/>
      <c r="P51" s="195"/>
      <c r="Q51" s="195"/>
      <c r="R51" s="195"/>
      <c r="S51" s="195"/>
      <c r="T51" s="195"/>
      <c r="U51" s="195"/>
      <c r="V51" s="195"/>
      <c r="W51" s="195"/>
      <c r="X51" s="195"/>
      <c r="Y51" s="195"/>
      <c r="Z51" s="195"/>
      <c r="AA51" s="195"/>
      <c r="AB51" s="195"/>
      <c r="AC51" s="196"/>
      <c r="AD51" s="196"/>
      <c r="AE51" s="196"/>
      <c r="AF51" s="196"/>
      <c r="AG51" s="196"/>
      <c r="AH51" s="196"/>
      <c r="AI51" s="196"/>
      <c r="AJ51" s="195"/>
      <c r="AK51" s="195"/>
      <c r="AL51" s="195"/>
      <c r="AM51" s="195"/>
      <c r="AN51" s="195"/>
      <c r="AO51" s="195"/>
      <c r="AP51" s="195"/>
      <c r="AQ51" s="195"/>
      <c r="AR51" s="195"/>
      <c r="AS51" s="195"/>
      <c r="AT51" s="195"/>
      <c r="AU51" s="195"/>
      <c r="AV51" s="195"/>
      <c r="AW51" s="195"/>
      <c r="AX51" s="191">
        <v>20</v>
      </c>
      <c r="AY51" s="215">
        <v>20</v>
      </c>
      <c r="AZ51" s="207" t="s">
        <v>765</v>
      </c>
      <c r="BA51" s="208" t="s">
        <v>925</v>
      </c>
    </row>
    <row r="52" spans="1:53" s="187" customFormat="1">
      <c r="A52" s="188" t="s">
        <v>827</v>
      </c>
      <c r="B52" s="236">
        <v>1732</v>
      </c>
      <c r="C52" s="236">
        <v>1732</v>
      </c>
      <c r="D52" s="231" t="s">
        <v>926</v>
      </c>
      <c r="E52" s="191" t="s">
        <v>155</v>
      </c>
      <c r="F52" s="191" t="s">
        <v>59</v>
      </c>
      <c r="G52" s="191"/>
      <c r="H52" s="193">
        <f t="shared" si="12"/>
        <v>3.7230000000000003</v>
      </c>
      <c r="I52" s="199">
        <v>1.0200000000000001E-2</v>
      </c>
      <c r="J52" s="194">
        <f t="shared" si="10"/>
        <v>0.30600000000000005</v>
      </c>
      <c r="K52" s="194">
        <f t="shared" si="8"/>
        <v>3.7230000000000003</v>
      </c>
      <c r="L52" s="199">
        <v>1.0200000000000001E-2</v>
      </c>
      <c r="M52" s="194">
        <f t="shared" si="11"/>
        <v>0.30600000000000005</v>
      </c>
      <c r="N52" s="194">
        <f t="shared" si="4"/>
        <v>0</v>
      </c>
      <c r="O52" s="195"/>
      <c r="P52" s="195"/>
      <c r="Q52" s="195"/>
      <c r="R52" s="195"/>
      <c r="S52" s="195"/>
      <c r="T52" s="195"/>
      <c r="U52" s="195"/>
      <c r="V52" s="195"/>
      <c r="W52" s="195"/>
      <c r="X52" s="195"/>
      <c r="Y52" s="195"/>
      <c r="Z52" s="195"/>
      <c r="AA52" s="195"/>
      <c r="AB52" s="195"/>
      <c r="AC52" s="196"/>
      <c r="AD52" s="196"/>
      <c r="AE52" s="196"/>
      <c r="AF52" s="196"/>
      <c r="AG52" s="196"/>
      <c r="AH52" s="196"/>
      <c r="AI52" s="196"/>
      <c r="AJ52" s="195"/>
      <c r="AK52" s="195"/>
      <c r="AL52" s="195"/>
      <c r="AM52" s="195"/>
      <c r="AN52" s="195"/>
      <c r="AO52" s="195"/>
      <c r="AP52" s="195"/>
      <c r="AQ52" s="195"/>
      <c r="AR52" s="195"/>
      <c r="AS52" s="195"/>
      <c r="AT52" s="195"/>
      <c r="AU52" s="195"/>
      <c r="AV52" s="195"/>
      <c r="AW52" s="195"/>
      <c r="AX52" s="226">
        <v>10</v>
      </c>
      <c r="AY52" s="226">
        <v>10</v>
      </c>
      <c r="AZ52" s="231" t="s">
        <v>765</v>
      </c>
      <c r="BA52" s="208" t="s">
        <v>830</v>
      </c>
    </row>
    <row r="53" spans="1:53" s="187" customFormat="1">
      <c r="A53" s="188" t="s">
        <v>827</v>
      </c>
      <c r="B53" s="236">
        <v>1733</v>
      </c>
      <c r="C53" s="236">
        <v>1733</v>
      </c>
      <c r="D53" s="237" t="s">
        <v>927</v>
      </c>
      <c r="E53" s="191" t="s">
        <v>15</v>
      </c>
      <c r="F53" s="191" t="s">
        <v>59</v>
      </c>
      <c r="G53" s="192"/>
      <c r="H53" s="193">
        <f t="shared" si="12"/>
        <v>17.666</v>
      </c>
      <c r="I53" s="199">
        <v>4.8399999999999999E-2</v>
      </c>
      <c r="J53" s="194">
        <f t="shared" si="10"/>
        <v>1.452</v>
      </c>
      <c r="K53" s="194">
        <f t="shared" si="8"/>
        <v>17.666</v>
      </c>
      <c r="L53" s="199">
        <v>4.8399999999999999E-2</v>
      </c>
      <c r="M53" s="194">
        <f t="shared" si="11"/>
        <v>1.452</v>
      </c>
      <c r="N53" s="194">
        <f t="shared" si="4"/>
        <v>0</v>
      </c>
      <c r="O53" s="195"/>
      <c r="P53" s="195"/>
      <c r="Q53" s="195"/>
      <c r="R53" s="195"/>
      <c r="S53" s="195"/>
      <c r="T53" s="195"/>
      <c r="U53" s="195"/>
      <c r="V53" s="195"/>
      <c r="W53" s="195"/>
      <c r="X53" s="195"/>
      <c r="Y53" s="195"/>
      <c r="Z53" s="195"/>
      <c r="AA53" s="195"/>
      <c r="AB53" s="195"/>
      <c r="AC53" s="196"/>
      <c r="AD53" s="196"/>
      <c r="AE53" s="196"/>
      <c r="AF53" s="196"/>
      <c r="AG53" s="196"/>
      <c r="AH53" s="196"/>
      <c r="AI53" s="196"/>
      <c r="AJ53" s="195"/>
      <c r="AK53" s="195"/>
      <c r="AL53" s="195"/>
      <c r="AM53" s="195"/>
      <c r="AN53" s="195"/>
      <c r="AO53" s="195"/>
      <c r="AP53" s="195"/>
      <c r="AQ53" s="195"/>
      <c r="AR53" s="195"/>
      <c r="AS53" s="195"/>
      <c r="AT53" s="195"/>
      <c r="AU53" s="195"/>
      <c r="AV53" s="195"/>
      <c r="AW53" s="195"/>
      <c r="AX53" s="230">
        <v>20</v>
      </c>
      <c r="AY53" s="226">
        <v>20</v>
      </c>
      <c r="AZ53" s="231" t="s">
        <v>765</v>
      </c>
      <c r="BA53" s="208" t="s">
        <v>833</v>
      </c>
    </row>
    <row r="54" spans="1:53" s="187" customFormat="1">
      <c r="A54" s="188" t="s">
        <v>827</v>
      </c>
      <c r="B54" s="236">
        <v>1793</v>
      </c>
      <c r="C54" s="236">
        <v>1793</v>
      </c>
      <c r="D54" s="237" t="s">
        <v>928</v>
      </c>
      <c r="E54" s="191" t="s">
        <v>15</v>
      </c>
      <c r="F54" s="191" t="s">
        <v>59</v>
      </c>
      <c r="G54" s="192"/>
      <c r="H54" s="193">
        <f t="shared" si="12"/>
        <v>5.2195</v>
      </c>
      <c r="I54" s="199">
        <v>1.43E-2</v>
      </c>
      <c r="J54" s="194">
        <f t="shared" si="10"/>
        <v>0.42899999999999999</v>
      </c>
      <c r="K54" s="194">
        <f t="shared" si="8"/>
        <v>5.2195</v>
      </c>
      <c r="L54" s="199">
        <v>1.43E-2</v>
      </c>
      <c r="M54" s="194">
        <f t="shared" si="11"/>
        <v>0.42899999999999999</v>
      </c>
      <c r="N54" s="194">
        <f t="shared" si="4"/>
        <v>0</v>
      </c>
      <c r="O54" s="195"/>
      <c r="P54" s="195"/>
      <c r="Q54" s="195"/>
      <c r="R54" s="195"/>
      <c r="S54" s="195"/>
      <c r="T54" s="195"/>
      <c r="U54" s="195"/>
      <c r="V54" s="195"/>
      <c r="W54" s="195"/>
      <c r="X54" s="195"/>
      <c r="Y54" s="195"/>
      <c r="Z54" s="195"/>
      <c r="AA54" s="195"/>
      <c r="AB54" s="195"/>
      <c r="AC54" s="196"/>
      <c r="AD54" s="196"/>
      <c r="AE54" s="196"/>
      <c r="AF54" s="196"/>
      <c r="AG54" s="196"/>
      <c r="AH54" s="196"/>
      <c r="AI54" s="196"/>
      <c r="AJ54" s="195"/>
      <c r="AK54" s="195"/>
      <c r="AL54" s="195"/>
      <c r="AM54" s="195"/>
      <c r="AN54" s="195"/>
      <c r="AO54" s="195"/>
      <c r="AP54" s="195"/>
      <c r="AQ54" s="195"/>
      <c r="AR54" s="195"/>
      <c r="AS54" s="195"/>
      <c r="AT54" s="195"/>
      <c r="AU54" s="195"/>
      <c r="AV54" s="195"/>
      <c r="AW54" s="195"/>
      <c r="AX54" s="230">
        <v>10</v>
      </c>
      <c r="AY54" s="226" t="s">
        <v>851</v>
      </c>
      <c r="AZ54" s="231" t="s">
        <v>765</v>
      </c>
      <c r="BA54" s="208" t="s">
        <v>855</v>
      </c>
    </row>
    <row r="55" spans="1:53" s="187" customFormat="1">
      <c r="A55" s="188" t="s">
        <v>827</v>
      </c>
      <c r="B55" s="236">
        <v>1795</v>
      </c>
      <c r="C55" s="236">
        <v>1795</v>
      </c>
      <c r="D55" s="231" t="s">
        <v>929</v>
      </c>
      <c r="E55" s="191" t="s">
        <v>15</v>
      </c>
      <c r="F55" s="191" t="s">
        <v>59</v>
      </c>
      <c r="G55" s="192"/>
      <c r="H55" s="193">
        <f t="shared" si="12"/>
        <v>36.135000000000005</v>
      </c>
      <c r="I55" s="199">
        <v>9.9000000000000005E-2</v>
      </c>
      <c r="J55" s="194">
        <f t="shared" si="10"/>
        <v>2.97</v>
      </c>
      <c r="K55" s="194">
        <f t="shared" si="8"/>
        <v>36.135000000000005</v>
      </c>
      <c r="L55" s="199">
        <v>9.9000000000000005E-2</v>
      </c>
      <c r="M55" s="194">
        <f t="shared" si="11"/>
        <v>2.97</v>
      </c>
      <c r="N55" s="194">
        <f t="shared" si="4"/>
        <v>0</v>
      </c>
      <c r="O55" s="195"/>
      <c r="P55" s="195"/>
      <c r="Q55" s="195"/>
      <c r="R55" s="195"/>
      <c r="S55" s="195"/>
      <c r="T55" s="195"/>
      <c r="U55" s="195"/>
      <c r="V55" s="195"/>
      <c r="W55" s="195"/>
      <c r="X55" s="195"/>
      <c r="Y55" s="195"/>
      <c r="Z55" s="195"/>
      <c r="AA55" s="195"/>
      <c r="AB55" s="195"/>
      <c r="AC55" s="196"/>
      <c r="AD55" s="196"/>
      <c r="AE55" s="196"/>
      <c r="AF55" s="196"/>
      <c r="AG55" s="196"/>
      <c r="AH55" s="196"/>
      <c r="AI55" s="196"/>
      <c r="AJ55" s="195"/>
      <c r="AK55" s="195"/>
      <c r="AL55" s="195"/>
      <c r="AM55" s="195"/>
      <c r="AN55" s="195"/>
      <c r="AO55" s="195"/>
      <c r="AP55" s="195"/>
      <c r="AQ55" s="195"/>
      <c r="AR55" s="195"/>
      <c r="AS55" s="195"/>
      <c r="AT55" s="195"/>
      <c r="AU55" s="195"/>
      <c r="AV55" s="195"/>
      <c r="AW55" s="195"/>
      <c r="AX55" s="230">
        <v>20</v>
      </c>
      <c r="AY55" s="226">
        <v>20</v>
      </c>
      <c r="AZ55" s="231" t="s">
        <v>765</v>
      </c>
      <c r="BA55" s="208" t="s">
        <v>855</v>
      </c>
    </row>
    <row r="56" spans="1:53" s="187" customFormat="1">
      <c r="A56" s="188" t="s">
        <v>827</v>
      </c>
      <c r="B56" s="189">
        <v>1795</v>
      </c>
      <c r="C56" s="189">
        <v>1795</v>
      </c>
      <c r="D56" s="188" t="s">
        <v>930</v>
      </c>
      <c r="E56" s="191" t="s">
        <v>15</v>
      </c>
      <c r="F56" s="191" t="s">
        <v>59</v>
      </c>
      <c r="G56" s="191"/>
      <c r="H56" s="193">
        <f t="shared" si="12"/>
        <v>3.6135000000000002</v>
      </c>
      <c r="I56" s="219">
        <v>9.9000000000000008E-3</v>
      </c>
      <c r="J56" s="194">
        <f t="shared" si="10"/>
        <v>0.29700000000000004</v>
      </c>
      <c r="K56" s="194">
        <f t="shared" si="8"/>
        <v>3.6135000000000002</v>
      </c>
      <c r="L56" s="219">
        <v>9.9000000000000008E-3</v>
      </c>
      <c r="M56" s="194">
        <f t="shared" si="11"/>
        <v>0.29700000000000004</v>
      </c>
      <c r="N56" s="194">
        <f t="shared" si="4"/>
        <v>0</v>
      </c>
      <c r="O56" s="195"/>
      <c r="P56" s="195"/>
      <c r="Q56" s="195"/>
      <c r="R56" s="195"/>
      <c r="S56" s="195"/>
      <c r="T56" s="195"/>
      <c r="U56" s="195"/>
      <c r="V56" s="195"/>
      <c r="W56" s="195"/>
      <c r="X56" s="195"/>
      <c r="Y56" s="195"/>
      <c r="Z56" s="195"/>
      <c r="AA56" s="195"/>
      <c r="AB56" s="195"/>
      <c r="AC56" s="196"/>
      <c r="AD56" s="196"/>
      <c r="AE56" s="196"/>
      <c r="AF56" s="196"/>
      <c r="AG56" s="196"/>
      <c r="AH56" s="196"/>
      <c r="AI56" s="196"/>
      <c r="AJ56" s="195"/>
      <c r="AK56" s="195"/>
      <c r="AL56" s="195"/>
      <c r="AM56" s="195"/>
      <c r="AN56" s="195"/>
      <c r="AO56" s="195"/>
      <c r="AP56" s="195"/>
      <c r="AQ56" s="195"/>
      <c r="AR56" s="195"/>
      <c r="AS56" s="195"/>
      <c r="AT56" s="195"/>
      <c r="AU56" s="195"/>
      <c r="AV56" s="195"/>
      <c r="AW56" s="195"/>
      <c r="AX56" s="191">
        <v>20</v>
      </c>
      <c r="AY56" s="215" t="s">
        <v>851</v>
      </c>
      <c r="AZ56" s="207" t="s">
        <v>931</v>
      </c>
      <c r="BA56" s="208" t="s">
        <v>830</v>
      </c>
    </row>
    <row r="57" spans="1:53" s="187" customFormat="1">
      <c r="A57" s="188" t="s">
        <v>827</v>
      </c>
      <c r="B57" s="189">
        <v>1845</v>
      </c>
      <c r="C57" s="189">
        <v>1845</v>
      </c>
      <c r="D57" s="188" t="s">
        <v>932</v>
      </c>
      <c r="E57" s="191" t="s">
        <v>15</v>
      </c>
      <c r="F57" s="191" t="s">
        <v>59</v>
      </c>
      <c r="G57" s="191"/>
      <c r="H57" s="193">
        <f t="shared" si="12"/>
        <v>120.45</v>
      </c>
      <c r="I57" s="219">
        <v>0.33</v>
      </c>
      <c r="J57" s="194">
        <f t="shared" si="10"/>
        <v>9.9</v>
      </c>
      <c r="K57" s="194">
        <f t="shared" si="8"/>
        <v>120.45</v>
      </c>
      <c r="L57" s="219">
        <v>0.33</v>
      </c>
      <c r="M57" s="194">
        <f t="shared" si="11"/>
        <v>9.9</v>
      </c>
      <c r="N57" s="194">
        <f t="shared" si="4"/>
        <v>0</v>
      </c>
      <c r="O57" s="195"/>
      <c r="P57" s="195"/>
      <c r="Q57" s="195"/>
      <c r="R57" s="195"/>
      <c r="S57" s="195"/>
      <c r="T57" s="195"/>
      <c r="U57" s="195"/>
      <c r="V57" s="195"/>
      <c r="W57" s="195"/>
      <c r="X57" s="195"/>
      <c r="Y57" s="195"/>
      <c r="Z57" s="195"/>
      <c r="AA57" s="195"/>
      <c r="AB57" s="195"/>
      <c r="AC57" s="196"/>
      <c r="AD57" s="196"/>
      <c r="AE57" s="196"/>
      <c r="AF57" s="196"/>
      <c r="AG57" s="196"/>
      <c r="AH57" s="196"/>
      <c r="AI57" s="196"/>
      <c r="AJ57" s="195"/>
      <c r="AK57" s="195"/>
      <c r="AL57" s="195"/>
      <c r="AM57" s="195"/>
      <c r="AN57" s="195"/>
      <c r="AO57" s="195"/>
      <c r="AP57" s="195"/>
      <c r="AQ57" s="195"/>
      <c r="AR57" s="195"/>
      <c r="AS57" s="195"/>
      <c r="AT57" s="195"/>
      <c r="AU57" s="195"/>
      <c r="AV57" s="195"/>
      <c r="AW57" s="195"/>
      <c r="AX57" s="191">
        <v>20</v>
      </c>
      <c r="AY57" s="215">
        <v>20</v>
      </c>
      <c r="AZ57" s="207" t="s">
        <v>765</v>
      </c>
      <c r="BA57" s="208" t="s">
        <v>933</v>
      </c>
    </row>
    <row r="58" spans="1:53" s="187" customFormat="1" ht="18" customHeight="1">
      <c r="A58" s="188" t="s">
        <v>827</v>
      </c>
      <c r="B58" s="189">
        <v>1862</v>
      </c>
      <c r="C58" s="189">
        <v>1862</v>
      </c>
      <c r="D58" s="188" t="s">
        <v>934</v>
      </c>
      <c r="E58" s="191" t="s">
        <v>15</v>
      </c>
      <c r="F58" s="191" t="s">
        <v>58</v>
      </c>
      <c r="G58" s="191"/>
      <c r="H58" s="193">
        <f t="shared" si="12"/>
        <v>35.587499999999999</v>
      </c>
      <c r="I58" s="219">
        <v>9.7500000000000003E-2</v>
      </c>
      <c r="J58" s="194">
        <f t="shared" si="10"/>
        <v>2.9250000000000003</v>
      </c>
      <c r="K58" s="194">
        <f t="shared" si="8"/>
        <v>36.098500000000001</v>
      </c>
      <c r="L58" s="219">
        <v>9.8900000000000002E-2</v>
      </c>
      <c r="M58" s="194">
        <f t="shared" si="11"/>
        <v>2.9670000000000001</v>
      </c>
      <c r="N58" s="194">
        <f t="shared" si="4"/>
        <v>1.3999999999999985E-3</v>
      </c>
      <c r="O58" s="195"/>
      <c r="P58" s="195"/>
      <c r="Q58" s="195"/>
      <c r="R58" s="195"/>
      <c r="S58" s="195"/>
      <c r="T58" s="195"/>
      <c r="U58" s="195"/>
      <c r="V58" s="195"/>
      <c r="W58" s="195"/>
      <c r="X58" s="195"/>
      <c r="Y58" s="195"/>
      <c r="Z58" s="195"/>
      <c r="AA58" s="195"/>
      <c r="AB58" s="195"/>
      <c r="AC58" s="196"/>
      <c r="AD58" s="196"/>
      <c r="AE58" s="196"/>
      <c r="AF58" s="196"/>
      <c r="AG58" s="196"/>
      <c r="AH58" s="196"/>
      <c r="AI58" s="196"/>
      <c r="AJ58" s="195"/>
      <c r="AK58" s="195"/>
      <c r="AL58" s="195"/>
      <c r="AM58" s="195"/>
      <c r="AN58" s="195"/>
      <c r="AO58" s="195"/>
      <c r="AP58" s="195"/>
      <c r="AQ58" s="195"/>
      <c r="AR58" s="195"/>
      <c r="AS58" s="195"/>
      <c r="AT58" s="195"/>
      <c r="AU58" s="195"/>
      <c r="AV58" s="195"/>
      <c r="AW58" s="195"/>
      <c r="AX58" s="191" t="s">
        <v>515</v>
      </c>
      <c r="AY58" s="225" t="s">
        <v>515</v>
      </c>
      <c r="AZ58" s="207" t="s">
        <v>935</v>
      </c>
      <c r="BA58" s="208"/>
    </row>
    <row r="59" spans="1:53" s="187" customFormat="1">
      <c r="A59" s="188" t="s">
        <v>827</v>
      </c>
      <c r="B59" s="238">
        <v>1867</v>
      </c>
      <c r="C59" s="238">
        <v>1867</v>
      </c>
      <c r="D59" s="211" t="s">
        <v>936</v>
      </c>
      <c r="E59" s="191" t="s">
        <v>15</v>
      </c>
      <c r="F59" s="191" t="s">
        <v>59</v>
      </c>
      <c r="G59" s="212"/>
      <c r="H59" s="193">
        <f t="shared" si="12"/>
        <v>6.0590000000000002</v>
      </c>
      <c r="I59" s="194">
        <v>1.66E-2</v>
      </c>
      <c r="J59" s="194">
        <f t="shared" si="10"/>
        <v>0.498</v>
      </c>
      <c r="K59" s="194">
        <f t="shared" si="8"/>
        <v>6.0590000000000002</v>
      </c>
      <c r="L59" s="194">
        <v>1.66E-2</v>
      </c>
      <c r="M59" s="194">
        <f t="shared" si="11"/>
        <v>0.498</v>
      </c>
      <c r="N59" s="194">
        <f t="shared" si="4"/>
        <v>0</v>
      </c>
      <c r="O59" s="195"/>
      <c r="P59" s="195"/>
      <c r="Q59" s="195"/>
      <c r="R59" s="195"/>
      <c r="S59" s="195"/>
      <c r="T59" s="195"/>
      <c r="U59" s="195"/>
      <c r="V59" s="195"/>
      <c r="W59" s="195"/>
      <c r="X59" s="195"/>
      <c r="Y59" s="195"/>
      <c r="Z59" s="195"/>
      <c r="AA59" s="195"/>
      <c r="AB59" s="195"/>
      <c r="AC59" s="196"/>
      <c r="AD59" s="196"/>
      <c r="AE59" s="196"/>
      <c r="AF59" s="196"/>
      <c r="AG59" s="196"/>
      <c r="AH59" s="196"/>
      <c r="AI59" s="196"/>
      <c r="AJ59" s="195"/>
      <c r="AK59" s="195"/>
      <c r="AL59" s="195"/>
      <c r="AM59" s="195"/>
      <c r="AN59" s="195"/>
      <c r="AO59" s="195"/>
      <c r="AP59" s="195"/>
      <c r="AQ59" s="195"/>
      <c r="AR59" s="195"/>
      <c r="AS59" s="195"/>
      <c r="AT59" s="195"/>
      <c r="AU59" s="195"/>
      <c r="AV59" s="195"/>
      <c r="AW59" s="195"/>
      <c r="AX59" s="191">
        <v>20</v>
      </c>
      <c r="AY59" s="215">
        <v>20</v>
      </c>
      <c r="AZ59" s="234" t="s">
        <v>765</v>
      </c>
      <c r="BA59" s="208" t="s">
        <v>937</v>
      </c>
    </row>
    <row r="60" spans="1:53" s="187" customFormat="1">
      <c r="A60" s="188" t="s">
        <v>827</v>
      </c>
      <c r="B60" s="238">
        <v>1883</v>
      </c>
      <c r="C60" s="238">
        <v>1883</v>
      </c>
      <c r="D60" s="239" t="s">
        <v>938</v>
      </c>
      <c r="E60" s="191" t="s">
        <v>15</v>
      </c>
      <c r="F60" s="191" t="s">
        <v>59</v>
      </c>
      <c r="G60" s="212"/>
      <c r="H60" s="193">
        <f t="shared" si="12"/>
        <v>64.276499999999999</v>
      </c>
      <c r="I60" s="219">
        <v>0.17610000000000001</v>
      </c>
      <c r="J60" s="194">
        <f t="shared" si="10"/>
        <v>5.2830000000000004</v>
      </c>
      <c r="K60" s="194">
        <f t="shared" si="8"/>
        <v>64.276499999999999</v>
      </c>
      <c r="L60" s="219">
        <v>0.17610000000000001</v>
      </c>
      <c r="M60" s="194">
        <f t="shared" si="11"/>
        <v>5.2830000000000004</v>
      </c>
      <c r="N60" s="194">
        <f t="shared" si="4"/>
        <v>0</v>
      </c>
      <c r="O60" s="195"/>
      <c r="P60" s="195"/>
      <c r="Q60" s="195"/>
      <c r="R60" s="195"/>
      <c r="S60" s="195"/>
      <c r="T60" s="195"/>
      <c r="U60" s="195"/>
      <c r="V60" s="195"/>
      <c r="W60" s="195"/>
      <c r="X60" s="195"/>
      <c r="Y60" s="195"/>
      <c r="Z60" s="195"/>
      <c r="AA60" s="195"/>
      <c r="AB60" s="195"/>
      <c r="AC60" s="196"/>
      <c r="AD60" s="196"/>
      <c r="AE60" s="196"/>
      <c r="AF60" s="196"/>
      <c r="AG60" s="196"/>
      <c r="AH60" s="196"/>
      <c r="AI60" s="196"/>
      <c r="AJ60" s="195"/>
      <c r="AK60" s="195"/>
      <c r="AL60" s="195"/>
      <c r="AM60" s="195"/>
      <c r="AN60" s="195"/>
      <c r="AO60" s="195"/>
      <c r="AP60" s="195"/>
      <c r="AQ60" s="195"/>
      <c r="AR60" s="195"/>
      <c r="AS60" s="195"/>
      <c r="AT60" s="195"/>
      <c r="AU60" s="195"/>
      <c r="AV60" s="195"/>
      <c r="AW60" s="195"/>
      <c r="AX60" s="191">
        <v>20</v>
      </c>
      <c r="AY60" s="215">
        <v>20</v>
      </c>
      <c r="AZ60" s="207" t="s">
        <v>765</v>
      </c>
      <c r="BA60" s="208" t="s">
        <v>833</v>
      </c>
    </row>
    <row r="61" spans="1:53" s="187" customFormat="1">
      <c r="A61" s="188" t="s">
        <v>827</v>
      </c>
      <c r="B61" s="189">
        <v>2053</v>
      </c>
      <c r="C61" s="189">
        <v>2053</v>
      </c>
      <c r="D61" s="190" t="s">
        <v>939</v>
      </c>
      <c r="E61" s="191" t="s">
        <v>15</v>
      </c>
      <c r="F61" s="191" t="s">
        <v>59</v>
      </c>
      <c r="G61" s="192"/>
      <c r="H61" s="193">
        <f t="shared" si="12"/>
        <v>13.067</v>
      </c>
      <c r="I61" s="194">
        <v>3.5799999999999998E-2</v>
      </c>
      <c r="J61" s="194">
        <f t="shared" si="10"/>
        <v>1.0739999999999998</v>
      </c>
      <c r="K61" s="194">
        <f t="shared" si="8"/>
        <v>13.067</v>
      </c>
      <c r="L61" s="194">
        <v>3.5799999999999998E-2</v>
      </c>
      <c r="M61" s="194">
        <f t="shared" si="11"/>
        <v>1.0739999999999998</v>
      </c>
      <c r="N61" s="194">
        <f t="shared" si="4"/>
        <v>0</v>
      </c>
      <c r="O61" s="195"/>
      <c r="P61" s="195"/>
      <c r="Q61" s="195"/>
      <c r="R61" s="195"/>
      <c r="S61" s="195"/>
      <c r="T61" s="195"/>
      <c r="U61" s="195"/>
      <c r="V61" s="195"/>
      <c r="W61" s="195"/>
      <c r="X61" s="195"/>
      <c r="Y61" s="195"/>
      <c r="Z61" s="195"/>
      <c r="AA61" s="195"/>
      <c r="AB61" s="195"/>
      <c r="AC61" s="196"/>
      <c r="AD61" s="196"/>
      <c r="AE61" s="196"/>
      <c r="AF61" s="196"/>
      <c r="AG61" s="196"/>
      <c r="AH61" s="196"/>
      <c r="AI61" s="196"/>
      <c r="AJ61" s="195"/>
      <c r="AK61" s="195"/>
      <c r="AL61" s="195"/>
      <c r="AM61" s="195"/>
      <c r="AN61" s="195"/>
      <c r="AO61" s="195"/>
      <c r="AP61" s="195"/>
      <c r="AQ61" s="195"/>
      <c r="AR61" s="195"/>
      <c r="AS61" s="195"/>
      <c r="AT61" s="195"/>
      <c r="AU61" s="195"/>
      <c r="AV61" s="195"/>
      <c r="AW61" s="195"/>
      <c r="AX61" s="191">
        <v>10</v>
      </c>
      <c r="AY61" s="215" t="s">
        <v>851</v>
      </c>
      <c r="AZ61" s="231" t="s">
        <v>940</v>
      </c>
      <c r="BA61" s="217" t="s">
        <v>941</v>
      </c>
    </row>
    <row r="62" spans="1:53" s="187" customFormat="1">
      <c r="A62" s="188" t="s">
        <v>827</v>
      </c>
      <c r="B62" s="189">
        <v>2055</v>
      </c>
      <c r="C62" s="189">
        <v>2055</v>
      </c>
      <c r="D62" s="188" t="s">
        <v>942</v>
      </c>
      <c r="E62" s="191" t="s">
        <v>15</v>
      </c>
      <c r="F62" s="191" t="s">
        <v>59</v>
      </c>
      <c r="G62" s="191"/>
      <c r="H62" s="193">
        <f t="shared" si="12"/>
        <v>7.0445000000000002</v>
      </c>
      <c r="I62" s="230">
        <v>1.9300000000000001E-2</v>
      </c>
      <c r="J62" s="194">
        <f t="shared" si="10"/>
        <v>0.57900000000000007</v>
      </c>
      <c r="K62" s="194">
        <f t="shared" si="8"/>
        <v>7.0445000000000002</v>
      </c>
      <c r="L62" s="230">
        <v>1.9300000000000001E-2</v>
      </c>
      <c r="M62" s="194">
        <f t="shared" si="11"/>
        <v>0.57900000000000007</v>
      </c>
      <c r="N62" s="194">
        <f t="shared" si="4"/>
        <v>0</v>
      </c>
      <c r="O62" s="195"/>
      <c r="P62" s="195"/>
      <c r="Q62" s="195"/>
      <c r="R62" s="195"/>
      <c r="S62" s="195"/>
      <c r="T62" s="195"/>
      <c r="U62" s="195"/>
      <c r="V62" s="195"/>
      <c r="W62" s="195"/>
      <c r="X62" s="195"/>
      <c r="Y62" s="195"/>
      <c r="Z62" s="195"/>
      <c r="AA62" s="195"/>
      <c r="AB62" s="195"/>
      <c r="AC62" s="196"/>
      <c r="AD62" s="196"/>
      <c r="AE62" s="196"/>
      <c r="AF62" s="196"/>
      <c r="AG62" s="196"/>
      <c r="AH62" s="196"/>
      <c r="AI62" s="196"/>
      <c r="AJ62" s="195"/>
      <c r="AK62" s="195"/>
      <c r="AL62" s="195"/>
      <c r="AM62" s="195"/>
      <c r="AN62" s="195"/>
      <c r="AO62" s="195"/>
      <c r="AP62" s="195"/>
      <c r="AQ62" s="195"/>
      <c r="AR62" s="195"/>
      <c r="AS62" s="195"/>
      <c r="AT62" s="195"/>
      <c r="AU62" s="195"/>
      <c r="AV62" s="195"/>
      <c r="AW62" s="195"/>
      <c r="AX62" s="191">
        <v>20</v>
      </c>
      <c r="AY62" s="191">
        <v>20</v>
      </c>
      <c r="AZ62" s="231" t="s">
        <v>832</v>
      </c>
      <c r="BA62" s="208" t="s">
        <v>908</v>
      </c>
    </row>
    <row r="63" spans="1:53" s="187" customFormat="1">
      <c r="A63" s="188" t="s">
        <v>827</v>
      </c>
      <c r="B63" s="219">
        <v>2113</v>
      </c>
      <c r="C63" s="219">
        <v>2113</v>
      </c>
      <c r="D63" s="190" t="s">
        <v>943</v>
      </c>
      <c r="E63" s="191" t="s">
        <v>15</v>
      </c>
      <c r="F63" s="191" t="s">
        <v>59</v>
      </c>
      <c r="G63" s="191"/>
      <c r="H63" s="193">
        <f t="shared" si="12"/>
        <v>56.94</v>
      </c>
      <c r="I63" s="194">
        <v>0.156</v>
      </c>
      <c r="J63" s="194">
        <f t="shared" si="10"/>
        <v>4.68</v>
      </c>
      <c r="K63" s="194">
        <f t="shared" si="8"/>
        <v>56.94</v>
      </c>
      <c r="L63" s="194">
        <v>0.156</v>
      </c>
      <c r="M63" s="194">
        <f t="shared" si="11"/>
        <v>4.68</v>
      </c>
      <c r="N63" s="194">
        <f t="shared" si="4"/>
        <v>0</v>
      </c>
      <c r="O63" s="195"/>
      <c r="P63" s="195"/>
      <c r="Q63" s="195"/>
      <c r="R63" s="195"/>
      <c r="S63" s="195"/>
      <c r="T63" s="195"/>
      <c r="U63" s="195"/>
      <c r="V63" s="195"/>
      <c r="W63" s="195"/>
      <c r="X63" s="195"/>
      <c r="Y63" s="195"/>
      <c r="Z63" s="195"/>
      <c r="AA63" s="195"/>
      <c r="AB63" s="195"/>
      <c r="AC63" s="196"/>
      <c r="AD63" s="196"/>
      <c r="AE63" s="196"/>
      <c r="AF63" s="196"/>
      <c r="AG63" s="196"/>
      <c r="AH63" s="196"/>
      <c r="AI63" s="196"/>
      <c r="AJ63" s="195"/>
      <c r="AK63" s="195"/>
      <c r="AL63" s="195"/>
      <c r="AM63" s="195"/>
      <c r="AN63" s="195"/>
      <c r="AO63" s="195"/>
      <c r="AP63" s="195"/>
      <c r="AQ63" s="195"/>
      <c r="AR63" s="195"/>
      <c r="AS63" s="195"/>
      <c r="AT63" s="195"/>
      <c r="AU63" s="195"/>
      <c r="AV63" s="195"/>
      <c r="AW63" s="195"/>
      <c r="AX63" s="191">
        <v>20</v>
      </c>
      <c r="AY63" s="215">
        <v>20</v>
      </c>
      <c r="AZ63" s="207" t="s">
        <v>765</v>
      </c>
      <c r="BA63" s="190" t="s">
        <v>868</v>
      </c>
    </row>
    <row r="64" spans="1:53" s="187" customFormat="1">
      <c r="A64" s="188" t="s">
        <v>827</v>
      </c>
      <c r="B64" s="189">
        <v>2130</v>
      </c>
      <c r="C64" s="189">
        <v>2130</v>
      </c>
      <c r="D64" s="190" t="s">
        <v>944</v>
      </c>
      <c r="E64" s="191" t="s">
        <v>15</v>
      </c>
      <c r="F64" s="191" t="s">
        <v>59</v>
      </c>
      <c r="G64" s="191"/>
      <c r="H64" s="193">
        <f t="shared" si="12"/>
        <v>37.229999999999997</v>
      </c>
      <c r="I64" s="194">
        <v>0.10199999999999999</v>
      </c>
      <c r="J64" s="194">
        <f t="shared" si="10"/>
        <v>3.0599999999999996</v>
      </c>
      <c r="K64" s="194">
        <f t="shared" si="8"/>
        <v>37.229999999999997</v>
      </c>
      <c r="L64" s="194">
        <v>0.10199999999999999</v>
      </c>
      <c r="M64" s="194">
        <f t="shared" si="11"/>
        <v>3.0599999999999996</v>
      </c>
      <c r="N64" s="194">
        <f t="shared" si="4"/>
        <v>0</v>
      </c>
      <c r="O64" s="195"/>
      <c r="P64" s="195"/>
      <c r="Q64" s="195"/>
      <c r="R64" s="195"/>
      <c r="S64" s="195"/>
      <c r="T64" s="195"/>
      <c r="U64" s="195"/>
      <c r="V64" s="195"/>
      <c r="W64" s="195"/>
      <c r="X64" s="195"/>
      <c r="Y64" s="195"/>
      <c r="Z64" s="195"/>
      <c r="AA64" s="195"/>
      <c r="AB64" s="195"/>
      <c r="AC64" s="196"/>
      <c r="AD64" s="196"/>
      <c r="AE64" s="196"/>
      <c r="AF64" s="196"/>
      <c r="AG64" s="196"/>
      <c r="AH64" s="196"/>
      <c r="AI64" s="196"/>
      <c r="AJ64" s="195"/>
      <c r="AK64" s="195"/>
      <c r="AL64" s="195"/>
      <c r="AM64" s="195"/>
      <c r="AN64" s="195"/>
      <c r="AO64" s="195"/>
      <c r="AP64" s="195"/>
      <c r="AQ64" s="195"/>
      <c r="AR64" s="195"/>
      <c r="AS64" s="195"/>
      <c r="AT64" s="195"/>
      <c r="AU64" s="195"/>
      <c r="AV64" s="195"/>
      <c r="AW64" s="195"/>
      <c r="AX64" s="191">
        <v>20</v>
      </c>
      <c r="AY64" s="215" t="s">
        <v>851</v>
      </c>
      <c r="AZ64" s="231" t="s">
        <v>945</v>
      </c>
      <c r="BA64" s="217" t="s">
        <v>830</v>
      </c>
    </row>
    <row r="65" spans="1:53" s="187" customFormat="1">
      <c r="A65" s="188" t="s">
        <v>827</v>
      </c>
      <c r="B65" s="219">
        <v>2132</v>
      </c>
      <c r="C65" s="219">
        <v>2132</v>
      </c>
      <c r="D65" s="190" t="s">
        <v>946</v>
      </c>
      <c r="E65" s="191" t="s">
        <v>15</v>
      </c>
      <c r="F65" s="191" t="s">
        <v>59</v>
      </c>
      <c r="G65" s="191"/>
      <c r="H65" s="193">
        <f t="shared" si="12"/>
        <v>26.462499999999999</v>
      </c>
      <c r="I65" s="194">
        <v>7.2499999999999995E-2</v>
      </c>
      <c r="J65" s="194">
        <f t="shared" si="10"/>
        <v>2.1749999999999998</v>
      </c>
      <c r="K65" s="194">
        <f t="shared" si="8"/>
        <v>26.462499999999999</v>
      </c>
      <c r="L65" s="194">
        <v>7.2499999999999995E-2</v>
      </c>
      <c r="M65" s="194">
        <f t="shared" si="11"/>
        <v>2.1749999999999998</v>
      </c>
      <c r="N65" s="194">
        <f t="shared" si="4"/>
        <v>0</v>
      </c>
      <c r="O65" s="195"/>
      <c r="P65" s="195"/>
      <c r="Q65" s="195"/>
      <c r="R65" s="195"/>
      <c r="S65" s="195"/>
      <c r="T65" s="195"/>
      <c r="U65" s="195"/>
      <c r="V65" s="195"/>
      <c r="W65" s="195"/>
      <c r="X65" s="195"/>
      <c r="Y65" s="195"/>
      <c r="Z65" s="195"/>
      <c r="AA65" s="195"/>
      <c r="AB65" s="195"/>
      <c r="AC65" s="196"/>
      <c r="AD65" s="196"/>
      <c r="AE65" s="196"/>
      <c r="AF65" s="196"/>
      <c r="AG65" s="196"/>
      <c r="AH65" s="196"/>
      <c r="AI65" s="196"/>
      <c r="AJ65" s="195"/>
      <c r="AK65" s="195"/>
      <c r="AL65" s="195"/>
      <c r="AM65" s="195"/>
      <c r="AN65" s="195"/>
      <c r="AO65" s="195"/>
      <c r="AP65" s="195"/>
      <c r="AQ65" s="195"/>
      <c r="AR65" s="195"/>
      <c r="AS65" s="195"/>
      <c r="AT65" s="195"/>
      <c r="AU65" s="195"/>
      <c r="AV65" s="195"/>
      <c r="AW65" s="195"/>
      <c r="AX65" s="191">
        <v>20</v>
      </c>
      <c r="AY65" s="215">
        <v>20</v>
      </c>
      <c r="AZ65" s="207" t="s">
        <v>765</v>
      </c>
      <c r="BA65" s="201" t="s">
        <v>908</v>
      </c>
    </row>
    <row r="66" spans="1:53" s="187" customFormat="1">
      <c r="A66" s="188" t="s">
        <v>827</v>
      </c>
      <c r="B66" s="192">
        <v>2345</v>
      </c>
      <c r="C66" s="192">
        <v>2345</v>
      </c>
      <c r="D66" s="190" t="s">
        <v>947</v>
      </c>
      <c r="E66" s="191" t="s">
        <v>15</v>
      </c>
      <c r="F66" s="191" t="s">
        <v>60</v>
      </c>
      <c r="G66" s="191" t="s">
        <v>782</v>
      </c>
      <c r="H66" s="193">
        <f t="shared" si="12"/>
        <v>0.73</v>
      </c>
      <c r="I66" s="199">
        <v>2E-3</v>
      </c>
      <c r="J66" s="194">
        <f t="shared" si="10"/>
        <v>0.06</v>
      </c>
      <c r="K66" s="194">
        <f t="shared" si="8"/>
        <v>0.73</v>
      </c>
      <c r="L66" s="199">
        <v>2E-3</v>
      </c>
      <c r="M66" s="194">
        <f t="shared" si="11"/>
        <v>0.06</v>
      </c>
      <c r="N66" s="194">
        <f t="shared" ref="N66:N97" si="13">L66-I66</f>
        <v>0</v>
      </c>
      <c r="O66" s="195"/>
      <c r="P66" s="195"/>
      <c r="Q66" s="195"/>
      <c r="R66" s="195"/>
      <c r="S66" s="195"/>
      <c r="T66" s="195"/>
      <c r="U66" s="195"/>
      <c r="V66" s="195"/>
      <c r="W66" s="195"/>
      <c r="X66" s="195"/>
      <c r="Y66" s="195"/>
      <c r="Z66" s="195"/>
      <c r="AA66" s="195"/>
      <c r="AB66" s="195"/>
      <c r="AC66" s="196"/>
      <c r="AD66" s="196"/>
      <c r="AE66" s="196"/>
      <c r="AF66" s="196"/>
      <c r="AG66" s="196"/>
      <c r="AH66" s="196"/>
      <c r="AI66" s="196"/>
      <c r="AJ66" s="195"/>
      <c r="AK66" s="195"/>
      <c r="AL66" s="195"/>
      <c r="AM66" s="195"/>
      <c r="AN66" s="195"/>
      <c r="AO66" s="195"/>
      <c r="AP66" s="195"/>
      <c r="AQ66" s="195"/>
      <c r="AR66" s="195"/>
      <c r="AS66" s="195"/>
      <c r="AT66" s="195"/>
      <c r="AU66" s="195"/>
      <c r="AV66" s="195"/>
      <c r="AW66" s="195"/>
      <c r="AX66" s="192">
        <v>20</v>
      </c>
      <c r="AY66" s="202">
        <v>20</v>
      </c>
      <c r="AZ66" s="190" t="s">
        <v>765</v>
      </c>
      <c r="BA66" s="201" t="s">
        <v>830</v>
      </c>
    </row>
    <row r="67" spans="1:53" s="187" customFormat="1">
      <c r="A67" s="188" t="s">
        <v>827</v>
      </c>
      <c r="B67" s="189">
        <v>2364</v>
      </c>
      <c r="C67" s="189">
        <v>2364</v>
      </c>
      <c r="D67" s="190" t="s">
        <v>948</v>
      </c>
      <c r="E67" s="191" t="s">
        <v>15</v>
      </c>
      <c r="F67" s="191" t="s">
        <v>59</v>
      </c>
      <c r="G67" s="191"/>
      <c r="H67" s="193">
        <f t="shared" si="12"/>
        <v>8.76</v>
      </c>
      <c r="I67" s="194">
        <v>2.4E-2</v>
      </c>
      <c r="J67" s="194">
        <f t="shared" si="10"/>
        <v>0.72</v>
      </c>
      <c r="K67" s="194">
        <f t="shared" si="8"/>
        <v>8.76</v>
      </c>
      <c r="L67" s="194">
        <v>2.4E-2</v>
      </c>
      <c r="M67" s="194">
        <f t="shared" si="11"/>
        <v>0.72</v>
      </c>
      <c r="N67" s="194">
        <f t="shared" si="13"/>
        <v>0</v>
      </c>
      <c r="O67" s="195"/>
      <c r="P67" s="195"/>
      <c r="Q67" s="195"/>
      <c r="R67" s="195"/>
      <c r="S67" s="195"/>
      <c r="T67" s="195"/>
      <c r="U67" s="195"/>
      <c r="V67" s="195"/>
      <c r="W67" s="195"/>
      <c r="X67" s="195"/>
      <c r="Y67" s="195"/>
      <c r="Z67" s="195"/>
      <c r="AA67" s="195"/>
      <c r="AB67" s="195"/>
      <c r="AC67" s="196"/>
      <c r="AD67" s="196"/>
      <c r="AE67" s="196"/>
      <c r="AF67" s="196"/>
      <c r="AG67" s="196"/>
      <c r="AH67" s="196"/>
      <c r="AI67" s="196"/>
      <c r="AJ67" s="195"/>
      <c r="AK67" s="195"/>
      <c r="AL67" s="195"/>
      <c r="AM67" s="195"/>
      <c r="AN67" s="195"/>
      <c r="AO67" s="195"/>
      <c r="AP67" s="195"/>
      <c r="AQ67" s="195"/>
      <c r="AR67" s="195"/>
      <c r="AS67" s="195"/>
      <c r="AT67" s="195"/>
      <c r="AU67" s="195"/>
      <c r="AV67" s="195"/>
      <c r="AW67" s="195"/>
      <c r="AX67" s="191">
        <v>20</v>
      </c>
      <c r="AY67" s="215">
        <v>20</v>
      </c>
      <c r="AZ67" s="207" t="s">
        <v>835</v>
      </c>
      <c r="BA67" s="229" t="s">
        <v>949</v>
      </c>
    </row>
    <row r="68" spans="1:53" s="187" customFormat="1">
      <c r="A68" s="188" t="s">
        <v>827</v>
      </c>
      <c r="B68" s="189">
        <v>2365</v>
      </c>
      <c r="C68" s="189">
        <v>2365</v>
      </c>
      <c r="D68" s="190" t="s">
        <v>950</v>
      </c>
      <c r="E68" s="191" t="s">
        <v>15</v>
      </c>
      <c r="F68" s="191" t="s">
        <v>59</v>
      </c>
      <c r="G68" s="191"/>
      <c r="H68" s="193">
        <f t="shared" si="12"/>
        <v>19.016500000000001</v>
      </c>
      <c r="I68" s="194">
        <v>5.21E-2</v>
      </c>
      <c r="J68" s="194">
        <f t="shared" si="10"/>
        <v>1.5629999999999999</v>
      </c>
      <c r="K68" s="194">
        <f t="shared" si="8"/>
        <v>30.0395</v>
      </c>
      <c r="L68" s="194">
        <v>8.2299999999999998E-2</v>
      </c>
      <c r="M68" s="194">
        <f t="shared" si="11"/>
        <v>2.4689999999999999</v>
      </c>
      <c r="N68" s="194">
        <f t="shared" si="13"/>
        <v>3.0199999999999998E-2</v>
      </c>
      <c r="O68" s="195"/>
      <c r="P68" s="195"/>
      <c r="Q68" s="195"/>
      <c r="R68" s="195"/>
      <c r="S68" s="195"/>
      <c r="T68" s="195"/>
      <c r="U68" s="195"/>
      <c r="V68" s="195"/>
      <c r="W68" s="195"/>
      <c r="X68" s="195"/>
      <c r="Y68" s="195"/>
      <c r="Z68" s="195"/>
      <c r="AA68" s="195"/>
      <c r="AB68" s="195"/>
      <c r="AC68" s="196"/>
      <c r="AD68" s="196"/>
      <c r="AE68" s="196"/>
      <c r="AF68" s="196"/>
      <c r="AG68" s="196"/>
      <c r="AH68" s="196"/>
      <c r="AI68" s="196"/>
      <c r="AJ68" s="195"/>
      <c r="AK68" s="195"/>
      <c r="AL68" s="195"/>
      <c r="AM68" s="195"/>
      <c r="AN68" s="195"/>
      <c r="AO68" s="195"/>
      <c r="AP68" s="195"/>
      <c r="AQ68" s="195"/>
      <c r="AR68" s="195"/>
      <c r="AS68" s="195"/>
      <c r="AT68" s="195"/>
      <c r="AU68" s="195"/>
      <c r="AV68" s="195"/>
      <c r="AW68" s="195"/>
      <c r="AX68" s="191">
        <v>20</v>
      </c>
      <c r="AY68" s="215">
        <v>20</v>
      </c>
      <c r="AZ68" s="207" t="s">
        <v>882</v>
      </c>
      <c r="BA68" s="188" t="s">
        <v>868</v>
      </c>
    </row>
    <row r="69" spans="1:53" s="187" customFormat="1">
      <c r="A69" s="188" t="s">
        <v>827</v>
      </c>
      <c r="B69" s="189">
        <v>2368</v>
      </c>
      <c r="C69" s="189">
        <v>2368</v>
      </c>
      <c r="D69" s="190" t="s">
        <v>951</v>
      </c>
      <c r="E69" s="191" t="s">
        <v>15</v>
      </c>
      <c r="F69" s="191" t="s">
        <v>59</v>
      </c>
      <c r="G69" s="191"/>
      <c r="H69" s="193">
        <f t="shared" si="12"/>
        <v>6.2050000000000001</v>
      </c>
      <c r="I69" s="194">
        <v>1.7000000000000001E-2</v>
      </c>
      <c r="J69" s="194">
        <f t="shared" si="10"/>
        <v>0.51</v>
      </c>
      <c r="K69" s="194">
        <f t="shared" si="8"/>
        <v>6.2050000000000001</v>
      </c>
      <c r="L69" s="194">
        <v>1.7000000000000001E-2</v>
      </c>
      <c r="M69" s="194">
        <f t="shared" si="11"/>
        <v>0.51</v>
      </c>
      <c r="N69" s="194">
        <f t="shared" si="13"/>
        <v>0</v>
      </c>
      <c r="O69" s="195"/>
      <c r="P69" s="195"/>
      <c r="Q69" s="195"/>
      <c r="R69" s="195"/>
      <c r="S69" s="195"/>
      <c r="T69" s="195"/>
      <c r="U69" s="195"/>
      <c r="V69" s="195"/>
      <c r="W69" s="195"/>
      <c r="X69" s="195"/>
      <c r="Y69" s="195"/>
      <c r="Z69" s="195"/>
      <c r="AA69" s="195"/>
      <c r="AB69" s="195"/>
      <c r="AC69" s="196"/>
      <c r="AD69" s="196"/>
      <c r="AE69" s="196"/>
      <c r="AF69" s="196"/>
      <c r="AG69" s="196"/>
      <c r="AH69" s="196"/>
      <c r="AI69" s="196"/>
      <c r="AJ69" s="195"/>
      <c r="AK69" s="195"/>
      <c r="AL69" s="195"/>
      <c r="AM69" s="195"/>
      <c r="AN69" s="195"/>
      <c r="AO69" s="195"/>
      <c r="AP69" s="195"/>
      <c r="AQ69" s="195"/>
      <c r="AR69" s="195"/>
      <c r="AS69" s="195"/>
      <c r="AT69" s="195"/>
      <c r="AU69" s="195"/>
      <c r="AV69" s="195"/>
      <c r="AW69" s="195"/>
      <c r="AX69" s="191">
        <v>10</v>
      </c>
      <c r="AY69" s="215">
        <v>10</v>
      </c>
      <c r="AZ69" s="231" t="s">
        <v>952</v>
      </c>
      <c r="BA69" s="188" t="s">
        <v>830</v>
      </c>
    </row>
    <row r="70" spans="1:53" s="187" customFormat="1" ht="18" customHeight="1">
      <c r="A70" s="188" t="s">
        <v>827</v>
      </c>
      <c r="B70" s="240">
        <v>2379</v>
      </c>
      <c r="C70" s="240">
        <v>2379</v>
      </c>
      <c r="D70" s="214" t="s">
        <v>953</v>
      </c>
      <c r="E70" s="191" t="s">
        <v>15</v>
      </c>
      <c r="F70" s="191" t="s">
        <v>59</v>
      </c>
      <c r="G70" s="191"/>
      <c r="H70" s="193">
        <f t="shared" si="12"/>
        <v>11.753</v>
      </c>
      <c r="I70" s="194">
        <v>3.2199999999999999E-2</v>
      </c>
      <c r="J70" s="194">
        <f t="shared" si="10"/>
        <v>0.96599999999999997</v>
      </c>
      <c r="K70" s="194">
        <f t="shared" si="8"/>
        <v>11.753</v>
      </c>
      <c r="L70" s="194">
        <v>3.2199999999999999E-2</v>
      </c>
      <c r="M70" s="194">
        <f t="shared" si="11"/>
        <v>0.96599999999999997</v>
      </c>
      <c r="N70" s="194">
        <f t="shared" si="13"/>
        <v>0</v>
      </c>
      <c r="O70" s="195"/>
      <c r="P70" s="195"/>
      <c r="Q70" s="195"/>
      <c r="R70" s="195"/>
      <c r="S70" s="195"/>
      <c r="T70" s="195"/>
      <c r="U70" s="195"/>
      <c r="V70" s="195"/>
      <c r="W70" s="195"/>
      <c r="X70" s="195"/>
      <c r="Y70" s="195"/>
      <c r="Z70" s="195"/>
      <c r="AA70" s="195"/>
      <c r="AB70" s="195"/>
      <c r="AC70" s="196"/>
      <c r="AD70" s="196"/>
      <c r="AE70" s="196"/>
      <c r="AF70" s="196"/>
      <c r="AG70" s="196"/>
      <c r="AH70" s="196"/>
      <c r="AI70" s="196"/>
      <c r="AJ70" s="195"/>
      <c r="AK70" s="195"/>
      <c r="AL70" s="195"/>
      <c r="AM70" s="195"/>
      <c r="AN70" s="195"/>
      <c r="AO70" s="195"/>
      <c r="AP70" s="195"/>
      <c r="AQ70" s="195"/>
      <c r="AR70" s="195"/>
      <c r="AS70" s="195"/>
      <c r="AT70" s="195"/>
      <c r="AU70" s="195"/>
      <c r="AV70" s="195"/>
      <c r="AW70" s="195"/>
      <c r="AX70" s="191" t="s">
        <v>515</v>
      </c>
      <c r="AY70" s="215" t="s">
        <v>515</v>
      </c>
      <c r="AZ70" s="216" t="s">
        <v>954</v>
      </c>
      <c r="BA70" s="235" t="s">
        <v>855</v>
      </c>
    </row>
    <row r="71" spans="1:53" s="187" customFormat="1">
      <c r="A71" s="188" t="s">
        <v>827</v>
      </c>
      <c r="B71" s="213">
        <v>2439</v>
      </c>
      <c r="C71" s="213">
        <v>2439</v>
      </c>
      <c r="D71" s="214" t="s">
        <v>955</v>
      </c>
      <c r="E71" s="191" t="s">
        <v>15</v>
      </c>
      <c r="F71" s="191" t="s">
        <v>59</v>
      </c>
      <c r="G71" s="191"/>
      <c r="H71" s="193">
        <f t="shared" si="12"/>
        <v>96.980499999999992</v>
      </c>
      <c r="I71" s="194">
        <v>0.26569999999999999</v>
      </c>
      <c r="J71" s="194">
        <f t="shared" si="10"/>
        <v>7.9710000000000001</v>
      </c>
      <c r="K71" s="194">
        <f t="shared" si="8"/>
        <v>96.980499999999992</v>
      </c>
      <c r="L71" s="194">
        <v>0.26569999999999999</v>
      </c>
      <c r="M71" s="194">
        <f t="shared" si="11"/>
        <v>7.9710000000000001</v>
      </c>
      <c r="N71" s="194">
        <f t="shared" si="13"/>
        <v>0</v>
      </c>
      <c r="O71" s="195"/>
      <c r="P71" s="195"/>
      <c r="Q71" s="195"/>
      <c r="R71" s="195"/>
      <c r="S71" s="195"/>
      <c r="T71" s="195"/>
      <c r="U71" s="195"/>
      <c r="V71" s="195"/>
      <c r="W71" s="195"/>
      <c r="X71" s="195"/>
      <c r="Y71" s="195"/>
      <c r="Z71" s="195"/>
      <c r="AA71" s="195"/>
      <c r="AB71" s="195"/>
      <c r="AC71" s="196"/>
      <c r="AD71" s="196"/>
      <c r="AE71" s="196"/>
      <c r="AF71" s="196"/>
      <c r="AG71" s="196"/>
      <c r="AH71" s="196"/>
      <c r="AI71" s="196"/>
      <c r="AJ71" s="195"/>
      <c r="AK71" s="195"/>
      <c r="AL71" s="195"/>
      <c r="AM71" s="195"/>
      <c r="AN71" s="195"/>
      <c r="AO71" s="195"/>
      <c r="AP71" s="195"/>
      <c r="AQ71" s="195"/>
      <c r="AR71" s="195"/>
      <c r="AS71" s="195"/>
      <c r="AT71" s="195"/>
      <c r="AU71" s="195"/>
      <c r="AV71" s="195"/>
      <c r="AW71" s="195"/>
      <c r="AX71" s="241">
        <v>10</v>
      </c>
      <c r="AY71" s="241" t="s">
        <v>851</v>
      </c>
      <c r="AZ71" s="216" t="s">
        <v>832</v>
      </c>
      <c r="BA71" s="242" t="s">
        <v>855</v>
      </c>
    </row>
    <row r="72" spans="1:53" s="187" customFormat="1">
      <c r="A72" s="188" t="s">
        <v>827</v>
      </c>
      <c r="B72" s="213">
        <v>2450</v>
      </c>
      <c r="C72" s="213">
        <v>2450</v>
      </c>
      <c r="D72" s="214" t="s">
        <v>956</v>
      </c>
      <c r="E72" s="191" t="s">
        <v>15</v>
      </c>
      <c r="F72" s="191" t="s">
        <v>59</v>
      </c>
      <c r="G72" s="224"/>
      <c r="H72" s="193">
        <f t="shared" si="12"/>
        <v>4.8179999999999996</v>
      </c>
      <c r="I72" s="194">
        <v>1.32E-2</v>
      </c>
      <c r="J72" s="194">
        <f t="shared" si="10"/>
        <v>0.39600000000000002</v>
      </c>
      <c r="K72" s="194">
        <f t="shared" si="8"/>
        <v>4.8179999999999996</v>
      </c>
      <c r="L72" s="194">
        <v>1.32E-2</v>
      </c>
      <c r="M72" s="194">
        <f t="shared" si="11"/>
        <v>0.39600000000000002</v>
      </c>
      <c r="N72" s="194">
        <f t="shared" si="13"/>
        <v>0</v>
      </c>
      <c r="O72" s="195"/>
      <c r="P72" s="195"/>
      <c r="Q72" s="195"/>
      <c r="R72" s="195"/>
      <c r="S72" s="195"/>
      <c r="T72" s="195"/>
      <c r="U72" s="195"/>
      <c r="V72" s="195"/>
      <c r="W72" s="195"/>
      <c r="X72" s="195"/>
      <c r="Y72" s="195"/>
      <c r="Z72" s="195"/>
      <c r="AA72" s="195"/>
      <c r="AB72" s="195"/>
      <c r="AC72" s="196"/>
      <c r="AD72" s="196"/>
      <c r="AE72" s="196"/>
      <c r="AF72" s="196"/>
      <c r="AG72" s="196"/>
      <c r="AH72" s="196"/>
      <c r="AI72" s="196"/>
      <c r="AJ72" s="195"/>
      <c r="AK72" s="195"/>
      <c r="AL72" s="195"/>
      <c r="AM72" s="195"/>
      <c r="AN72" s="195"/>
      <c r="AO72" s="195"/>
      <c r="AP72" s="195"/>
      <c r="AQ72" s="195"/>
      <c r="AR72" s="195"/>
      <c r="AS72" s="195"/>
      <c r="AT72" s="195"/>
      <c r="AU72" s="195"/>
      <c r="AV72" s="195"/>
      <c r="AW72" s="195"/>
      <c r="AX72" s="224">
        <v>10</v>
      </c>
      <c r="AY72" s="225">
        <v>20</v>
      </c>
      <c r="AZ72" s="216" t="s">
        <v>769</v>
      </c>
      <c r="BA72" s="242" t="s">
        <v>957</v>
      </c>
    </row>
    <row r="73" spans="1:53" s="187" customFormat="1">
      <c r="A73" s="188" t="s">
        <v>827</v>
      </c>
      <c r="B73" s="213">
        <v>2464</v>
      </c>
      <c r="C73" s="213">
        <v>2464</v>
      </c>
      <c r="D73" s="214" t="s">
        <v>958</v>
      </c>
      <c r="E73" s="191" t="s">
        <v>15</v>
      </c>
      <c r="F73" s="191" t="s">
        <v>59</v>
      </c>
      <c r="G73" s="191"/>
      <c r="H73" s="193">
        <f t="shared" si="12"/>
        <v>22.8855</v>
      </c>
      <c r="I73" s="194">
        <v>6.2700000000000006E-2</v>
      </c>
      <c r="J73" s="194">
        <f t="shared" si="10"/>
        <v>1.8810000000000002</v>
      </c>
      <c r="K73" s="194">
        <f t="shared" si="8"/>
        <v>22.8855</v>
      </c>
      <c r="L73" s="194">
        <v>6.2700000000000006E-2</v>
      </c>
      <c r="M73" s="194">
        <f t="shared" si="11"/>
        <v>1.8810000000000002</v>
      </c>
      <c r="N73" s="194">
        <f t="shared" si="13"/>
        <v>0</v>
      </c>
      <c r="O73" s="195"/>
      <c r="P73" s="195"/>
      <c r="Q73" s="195"/>
      <c r="R73" s="195"/>
      <c r="S73" s="195"/>
      <c r="T73" s="195"/>
      <c r="U73" s="195"/>
      <c r="V73" s="195"/>
      <c r="W73" s="195"/>
      <c r="X73" s="195"/>
      <c r="Y73" s="195"/>
      <c r="Z73" s="195"/>
      <c r="AA73" s="195"/>
      <c r="AB73" s="195"/>
      <c r="AC73" s="196"/>
      <c r="AD73" s="196"/>
      <c r="AE73" s="196"/>
      <c r="AF73" s="196"/>
      <c r="AG73" s="196"/>
      <c r="AH73" s="196"/>
      <c r="AI73" s="196"/>
      <c r="AJ73" s="195"/>
      <c r="AK73" s="195"/>
      <c r="AL73" s="195"/>
      <c r="AM73" s="195"/>
      <c r="AN73" s="195"/>
      <c r="AO73" s="195"/>
      <c r="AP73" s="195"/>
      <c r="AQ73" s="195"/>
      <c r="AR73" s="195"/>
      <c r="AS73" s="195"/>
      <c r="AT73" s="195"/>
      <c r="AU73" s="195"/>
      <c r="AV73" s="195"/>
      <c r="AW73" s="195"/>
      <c r="AX73" s="191" t="s">
        <v>959</v>
      </c>
      <c r="AY73" s="215" t="s">
        <v>959</v>
      </c>
      <c r="AZ73" s="216" t="s">
        <v>897</v>
      </c>
      <c r="BA73" s="242" t="s">
        <v>836</v>
      </c>
    </row>
    <row r="74" spans="1:53" s="187" customFormat="1">
      <c r="A74" s="188" t="s">
        <v>827</v>
      </c>
      <c r="B74" s="189">
        <v>2488</v>
      </c>
      <c r="C74" s="189">
        <v>2488</v>
      </c>
      <c r="D74" s="188" t="s">
        <v>960</v>
      </c>
      <c r="E74" s="191" t="s">
        <v>15</v>
      </c>
      <c r="F74" s="191" t="s">
        <v>961</v>
      </c>
      <c r="G74" s="191"/>
      <c r="H74" s="193">
        <f t="shared" si="12"/>
        <v>0</v>
      </c>
      <c r="I74" s="232">
        <v>0</v>
      </c>
      <c r="J74" s="194">
        <f t="shared" si="10"/>
        <v>0</v>
      </c>
      <c r="K74" s="194">
        <f t="shared" si="8"/>
        <v>7.0445000000000002</v>
      </c>
      <c r="L74" s="219">
        <v>1.9300000000000001E-2</v>
      </c>
      <c r="M74" s="194">
        <f t="shared" si="11"/>
        <v>0.57900000000000007</v>
      </c>
      <c r="N74" s="194">
        <f t="shared" si="13"/>
        <v>1.9300000000000001E-2</v>
      </c>
      <c r="O74" s="195"/>
      <c r="P74" s="195"/>
      <c r="Q74" s="195"/>
      <c r="R74" s="195"/>
      <c r="S74" s="195"/>
      <c r="T74" s="195"/>
      <c r="U74" s="195"/>
      <c r="V74" s="195"/>
      <c r="W74" s="195"/>
      <c r="X74" s="195"/>
      <c r="Y74" s="195"/>
      <c r="Z74" s="195"/>
      <c r="AA74" s="195"/>
      <c r="AB74" s="195"/>
      <c r="AC74" s="196"/>
      <c r="AD74" s="196"/>
      <c r="AE74" s="196"/>
      <c r="AF74" s="196"/>
      <c r="AG74" s="196"/>
      <c r="AH74" s="196"/>
      <c r="AI74" s="196"/>
      <c r="AJ74" s="195"/>
      <c r="AK74" s="195"/>
      <c r="AL74" s="195"/>
      <c r="AM74" s="195"/>
      <c r="AN74" s="195"/>
      <c r="AO74" s="195"/>
      <c r="AP74" s="195"/>
      <c r="AQ74" s="195"/>
      <c r="AR74" s="195"/>
      <c r="AS74" s="195"/>
      <c r="AT74" s="195"/>
      <c r="AU74" s="195"/>
      <c r="AV74" s="195"/>
      <c r="AW74" s="195"/>
      <c r="AX74" s="191">
        <v>20</v>
      </c>
      <c r="AY74" s="215" t="s">
        <v>851</v>
      </c>
      <c r="AZ74" s="207" t="s">
        <v>962</v>
      </c>
      <c r="BA74" s="208" t="s">
        <v>830</v>
      </c>
    </row>
    <row r="75" spans="1:53" s="187" customFormat="1">
      <c r="A75" s="188" t="s">
        <v>827</v>
      </c>
      <c r="B75" s="189">
        <v>2504</v>
      </c>
      <c r="C75" s="189">
        <v>2504</v>
      </c>
      <c r="D75" s="190" t="s">
        <v>963</v>
      </c>
      <c r="E75" s="191" t="s">
        <v>15</v>
      </c>
      <c r="F75" s="191" t="s">
        <v>59</v>
      </c>
      <c r="G75" s="191"/>
      <c r="H75" s="193">
        <f t="shared" si="12"/>
        <v>13.432</v>
      </c>
      <c r="I75" s="199">
        <v>3.6799999999999999E-2</v>
      </c>
      <c r="J75" s="194">
        <f t="shared" si="10"/>
        <v>1.1040000000000001</v>
      </c>
      <c r="K75" s="194">
        <f t="shared" si="8"/>
        <v>13.432</v>
      </c>
      <c r="L75" s="199">
        <v>3.6799999999999999E-2</v>
      </c>
      <c r="M75" s="194">
        <f t="shared" si="11"/>
        <v>1.1040000000000001</v>
      </c>
      <c r="N75" s="194">
        <f t="shared" si="13"/>
        <v>0</v>
      </c>
      <c r="O75" s="195"/>
      <c r="P75" s="195"/>
      <c r="Q75" s="195"/>
      <c r="R75" s="195"/>
      <c r="S75" s="195"/>
      <c r="T75" s="195"/>
      <c r="U75" s="195"/>
      <c r="V75" s="195"/>
      <c r="W75" s="195"/>
      <c r="X75" s="195"/>
      <c r="Y75" s="195"/>
      <c r="Z75" s="195"/>
      <c r="AA75" s="195"/>
      <c r="AB75" s="195"/>
      <c r="AC75" s="196"/>
      <c r="AD75" s="196"/>
      <c r="AE75" s="196"/>
      <c r="AF75" s="196"/>
      <c r="AG75" s="196"/>
      <c r="AH75" s="196"/>
      <c r="AI75" s="196"/>
      <c r="AJ75" s="195"/>
      <c r="AK75" s="195"/>
      <c r="AL75" s="195"/>
      <c r="AM75" s="195"/>
      <c r="AN75" s="195"/>
      <c r="AO75" s="195"/>
      <c r="AP75" s="195"/>
      <c r="AQ75" s="195"/>
      <c r="AR75" s="195"/>
      <c r="AS75" s="195"/>
      <c r="AT75" s="195"/>
      <c r="AU75" s="195"/>
      <c r="AV75" s="195"/>
      <c r="AW75" s="195"/>
      <c r="AX75" s="191">
        <v>20</v>
      </c>
      <c r="AY75" s="215" t="s">
        <v>851</v>
      </c>
      <c r="AZ75" s="207"/>
      <c r="BA75" s="188" t="s">
        <v>855</v>
      </c>
    </row>
    <row r="76" spans="1:53" s="187" customFormat="1" ht="16.149999999999999" customHeight="1">
      <c r="A76" s="188" t="s">
        <v>827</v>
      </c>
      <c r="B76" s="219">
        <v>2507</v>
      </c>
      <c r="C76" s="219">
        <v>2507</v>
      </c>
      <c r="D76" s="190" t="s">
        <v>964</v>
      </c>
      <c r="E76" s="191" t="s">
        <v>15</v>
      </c>
      <c r="F76" s="191" t="s">
        <v>58</v>
      </c>
      <c r="G76" s="218">
        <v>41929</v>
      </c>
      <c r="H76" s="193">
        <f t="shared" si="12"/>
        <v>2.0805000000000002</v>
      </c>
      <c r="I76" s="194">
        <v>5.7000000000000002E-3</v>
      </c>
      <c r="J76" s="194">
        <f t="shared" si="10"/>
        <v>0.17100000000000001</v>
      </c>
      <c r="K76" s="194">
        <f t="shared" si="8"/>
        <v>2.0805000000000002</v>
      </c>
      <c r="L76" s="194">
        <v>5.7000000000000002E-3</v>
      </c>
      <c r="M76" s="194">
        <f t="shared" si="11"/>
        <v>0.17100000000000001</v>
      </c>
      <c r="N76" s="194">
        <f t="shared" si="13"/>
        <v>0</v>
      </c>
      <c r="O76" s="195"/>
      <c r="P76" s="195"/>
      <c r="Q76" s="195"/>
      <c r="R76" s="195"/>
      <c r="S76" s="195"/>
      <c r="T76" s="195"/>
      <c r="U76" s="195"/>
      <c r="V76" s="195"/>
      <c r="W76" s="195"/>
      <c r="X76" s="195"/>
      <c r="Y76" s="195"/>
      <c r="Z76" s="195"/>
      <c r="AA76" s="195"/>
      <c r="AB76" s="195"/>
      <c r="AC76" s="196"/>
      <c r="AD76" s="196"/>
      <c r="AE76" s="196"/>
      <c r="AF76" s="196"/>
      <c r="AG76" s="196"/>
      <c r="AH76" s="196"/>
      <c r="AI76" s="196"/>
      <c r="AJ76" s="195"/>
      <c r="AK76" s="195"/>
      <c r="AL76" s="195"/>
      <c r="AM76" s="195"/>
      <c r="AN76" s="195"/>
      <c r="AO76" s="195"/>
      <c r="AP76" s="195"/>
      <c r="AQ76" s="195"/>
      <c r="AR76" s="195"/>
      <c r="AS76" s="195"/>
      <c r="AT76" s="195"/>
      <c r="AU76" s="195"/>
      <c r="AV76" s="195"/>
      <c r="AW76" s="195"/>
      <c r="AX76" s="191">
        <v>10</v>
      </c>
      <c r="AY76" s="215">
        <v>20</v>
      </c>
      <c r="AZ76" s="207" t="s">
        <v>965</v>
      </c>
      <c r="BA76" s="190" t="s">
        <v>888</v>
      </c>
    </row>
    <row r="77" spans="1:53" s="187" customFormat="1" ht="17.45" customHeight="1">
      <c r="A77" s="188" t="s">
        <v>827</v>
      </c>
      <c r="B77" s="236">
        <v>2538</v>
      </c>
      <c r="C77" s="236">
        <v>2538</v>
      </c>
      <c r="D77" s="231" t="s">
        <v>966</v>
      </c>
      <c r="E77" s="191" t="s">
        <v>15</v>
      </c>
      <c r="F77" s="191" t="s">
        <v>60</v>
      </c>
      <c r="G77" s="191"/>
      <c r="H77" s="194">
        <f t="shared" si="12"/>
        <v>4.0149999999999997</v>
      </c>
      <c r="I77" s="199">
        <v>1.0999999999999999E-2</v>
      </c>
      <c r="J77" s="194">
        <f t="shared" si="10"/>
        <v>0.32999999999999996</v>
      </c>
      <c r="K77" s="194">
        <f t="shared" si="8"/>
        <v>4.0149999999999997</v>
      </c>
      <c r="L77" s="199">
        <v>1.0999999999999999E-2</v>
      </c>
      <c r="M77" s="194">
        <f t="shared" si="11"/>
        <v>0.32999999999999996</v>
      </c>
      <c r="N77" s="194">
        <f t="shared" si="13"/>
        <v>0</v>
      </c>
      <c r="O77" s="195"/>
      <c r="P77" s="195"/>
      <c r="Q77" s="195"/>
      <c r="R77" s="195"/>
      <c r="S77" s="195"/>
      <c r="T77" s="195"/>
      <c r="U77" s="195"/>
      <c r="V77" s="195"/>
      <c r="W77" s="195"/>
      <c r="X77" s="195"/>
      <c r="Y77" s="195"/>
      <c r="Z77" s="195"/>
      <c r="AA77" s="195"/>
      <c r="AB77" s="195"/>
      <c r="AC77" s="196"/>
      <c r="AD77" s="196"/>
      <c r="AE77" s="196"/>
      <c r="AF77" s="196"/>
      <c r="AG77" s="196"/>
      <c r="AH77" s="196"/>
      <c r="AI77" s="196"/>
      <c r="AJ77" s="195"/>
      <c r="AK77" s="195"/>
      <c r="AL77" s="195"/>
      <c r="AM77" s="195"/>
      <c r="AN77" s="195"/>
      <c r="AO77" s="195"/>
      <c r="AP77" s="195"/>
      <c r="AQ77" s="195"/>
      <c r="AR77" s="195"/>
      <c r="AS77" s="195"/>
      <c r="AT77" s="195"/>
      <c r="AU77" s="195"/>
      <c r="AV77" s="195"/>
      <c r="AW77" s="195"/>
      <c r="AX77" s="226">
        <v>10</v>
      </c>
      <c r="AY77" s="226" t="s">
        <v>851</v>
      </c>
      <c r="AZ77" s="231" t="s">
        <v>765</v>
      </c>
      <c r="BA77" s="208" t="s">
        <v>967</v>
      </c>
    </row>
    <row r="78" spans="1:53" s="187" customFormat="1">
      <c r="A78" s="188" t="s">
        <v>827</v>
      </c>
      <c r="B78" s="219">
        <v>2587</v>
      </c>
      <c r="C78" s="219">
        <v>2587</v>
      </c>
      <c r="D78" s="190" t="s">
        <v>968</v>
      </c>
      <c r="E78" s="191" t="s">
        <v>15</v>
      </c>
      <c r="F78" s="191" t="s">
        <v>59</v>
      </c>
      <c r="G78" s="191"/>
      <c r="H78" s="193">
        <f t="shared" si="12"/>
        <v>54.75</v>
      </c>
      <c r="I78" s="194">
        <v>0.15</v>
      </c>
      <c r="J78" s="194">
        <f t="shared" si="10"/>
        <v>4.5</v>
      </c>
      <c r="K78" s="194">
        <f t="shared" si="8"/>
        <v>54.75</v>
      </c>
      <c r="L78" s="194">
        <v>0.15</v>
      </c>
      <c r="M78" s="194">
        <f t="shared" si="11"/>
        <v>4.5</v>
      </c>
      <c r="N78" s="194">
        <f t="shared" si="13"/>
        <v>0</v>
      </c>
      <c r="O78" s="195"/>
      <c r="P78" s="195"/>
      <c r="Q78" s="195"/>
      <c r="R78" s="195"/>
      <c r="S78" s="195"/>
      <c r="T78" s="195"/>
      <c r="U78" s="195"/>
      <c r="V78" s="195"/>
      <c r="W78" s="195"/>
      <c r="X78" s="195"/>
      <c r="Y78" s="195"/>
      <c r="Z78" s="195"/>
      <c r="AA78" s="195"/>
      <c r="AB78" s="195"/>
      <c r="AC78" s="196"/>
      <c r="AD78" s="196"/>
      <c r="AE78" s="196"/>
      <c r="AF78" s="196"/>
      <c r="AG78" s="196"/>
      <c r="AH78" s="196"/>
      <c r="AI78" s="196"/>
      <c r="AJ78" s="195"/>
      <c r="AK78" s="195"/>
      <c r="AL78" s="195"/>
      <c r="AM78" s="195"/>
      <c r="AN78" s="195"/>
      <c r="AO78" s="195"/>
      <c r="AP78" s="195"/>
      <c r="AQ78" s="195"/>
      <c r="AR78" s="195"/>
      <c r="AS78" s="195"/>
      <c r="AT78" s="195"/>
      <c r="AU78" s="195"/>
      <c r="AV78" s="195"/>
      <c r="AW78" s="195"/>
      <c r="AX78" s="191">
        <v>20</v>
      </c>
      <c r="AY78" s="215">
        <v>20</v>
      </c>
      <c r="AZ78" s="207" t="s">
        <v>969</v>
      </c>
      <c r="BA78" s="190" t="s">
        <v>908</v>
      </c>
    </row>
    <row r="79" spans="1:53" s="187" customFormat="1">
      <c r="A79" s="188" t="s">
        <v>827</v>
      </c>
      <c r="B79" s="219">
        <v>2624</v>
      </c>
      <c r="C79" s="219">
        <v>2624</v>
      </c>
      <c r="D79" s="190" t="s">
        <v>970</v>
      </c>
      <c r="E79" s="191" t="s">
        <v>15</v>
      </c>
      <c r="F79" s="191" t="s">
        <v>59</v>
      </c>
      <c r="G79" s="224"/>
      <c r="H79" s="193">
        <f t="shared" si="12"/>
        <v>14.162000000000001</v>
      </c>
      <c r="I79" s="194">
        <v>3.8800000000000001E-2</v>
      </c>
      <c r="J79" s="194">
        <f t="shared" si="10"/>
        <v>1.1640000000000001</v>
      </c>
      <c r="K79" s="194">
        <f t="shared" si="8"/>
        <v>14.162000000000001</v>
      </c>
      <c r="L79" s="194">
        <v>3.8800000000000001E-2</v>
      </c>
      <c r="M79" s="194">
        <f t="shared" si="11"/>
        <v>1.1640000000000001</v>
      </c>
      <c r="N79" s="194">
        <f t="shared" si="13"/>
        <v>0</v>
      </c>
      <c r="O79" s="195"/>
      <c r="P79" s="195"/>
      <c r="Q79" s="195"/>
      <c r="R79" s="195"/>
      <c r="S79" s="195"/>
      <c r="T79" s="195"/>
      <c r="U79" s="195"/>
      <c r="V79" s="195"/>
      <c r="W79" s="195"/>
      <c r="X79" s="195"/>
      <c r="Y79" s="195"/>
      <c r="Z79" s="195"/>
      <c r="AA79" s="195"/>
      <c r="AB79" s="195"/>
      <c r="AC79" s="196"/>
      <c r="AD79" s="196"/>
      <c r="AE79" s="196"/>
      <c r="AF79" s="196"/>
      <c r="AG79" s="196"/>
      <c r="AH79" s="196"/>
      <c r="AI79" s="196"/>
      <c r="AJ79" s="195"/>
      <c r="AK79" s="195"/>
      <c r="AL79" s="195"/>
      <c r="AM79" s="195"/>
      <c r="AN79" s="195"/>
      <c r="AO79" s="195"/>
      <c r="AP79" s="195"/>
      <c r="AQ79" s="195"/>
      <c r="AR79" s="195"/>
      <c r="AS79" s="195"/>
      <c r="AT79" s="195"/>
      <c r="AU79" s="195"/>
      <c r="AV79" s="195"/>
      <c r="AW79" s="195"/>
      <c r="AX79" s="191">
        <v>20</v>
      </c>
      <c r="AY79" s="225">
        <v>20</v>
      </c>
      <c r="AZ79" s="207" t="s">
        <v>765</v>
      </c>
      <c r="BA79" s="190" t="s">
        <v>836</v>
      </c>
    </row>
    <row r="80" spans="1:53" s="187" customFormat="1">
      <c r="A80" s="188" t="s">
        <v>827</v>
      </c>
      <c r="B80" s="243">
        <v>2715</v>
      </c>
      <c r="C80" s="243">
        <v>2715</v>
      </c>
      <c r="D80" s="239" t="s">
        <v>971</v>
      </c>
      <c r="E80" s="191" t="s">
        <v>15</v>
      </c>
      <c r="F80" s="191" t="s">
        <v>972</v>
      </c>
      <c r="G80" s="212"/>
      <c r="H80" s="193">
        <f t="shared" si="12"/>
        <v>1860.3320000000001</v>
      </c>
      <c r="I80" s="199">
        <v>5.0968</v>
      </c>
      <c r="J80" s="194">
        <f t="shared" si="10"/>
        <v>152.904</v>
      </c>
      <c r="K80" s="194">
        <f t="shared" si="8"/>
        <v>1951.9835</v>
      </c>
      <c r="L80" s="199">
        <v>5.3479000000000001</v>
      </c>
      <c r="M80" s="194">
        <f t="shared" si="11"/>
        <v>160.43700000000001</v>
      </c>
      <c r="N80" s="194">
        <f t="shared" si="13"/>
        <v>0.2511000000000001</v>
      </c>
      <c r="O80" s="195"/>
      <c r="P80" s="195"/>
      <c r="Q80" s="195"/>
      <c r="R80" s="195"/>
      <c r="S80" s="195"/>
      <c r="T80" s="195"/>
      <c r="U80" s="195"/>
      <c r="V80" s="195"/>
      <c r="W80" s="195"/>
      <c r="X80" s="195"/>
      <c r="Y80" s="195"/>
      <c r="Z80" s="195"/>
      <c r="AA80" s="195"/>
      <c r="AB80" s="195"/>
      <c r="AC80" s="196"/>
      <c r="AD80" s="196"/>
      <c r="AE80" s="196"/>
      <c r="AF80" s="196"/>
      <c r="AG80" s="196"/>
      <c r="AH80" s="196"/>
      <c r="AI80" s="196"/>
      <c r="AJ80" s="195"/>
      <c r="AK80" s="195"/>
      <c r="AL80" s="195"/>
      <c r="AM80" s="195"/>
      <c r="AN80" s="195"/>
      <c r="AO80" s="195"/>
      <c r="AP80" s="195"/>
      <c r="AQ80" s="195"/>
      <c r="AR80" s="195"/>
      <c r="AS80" s="195"/>
      <c r="AT80" s="195"/>
      <c r="AU80" s="195"/>
      <c r="AV80" s="195"/>
      <c r="AW80" s="195"/>
      <c r="AX80" s="226" t="s">
        <v>482</v>
      </c>
      <c r="AY80" s="226" t="s">
        <v>482</v>
      </c>
      <c r="AZ80" s="231" t="s">
        <v>973</v>
      </c>
      <c r="BA80" s="217" t="s">
        <v>878</v>
      </c>
    </row>
    <row r="81" spans="1:53" s="187" customFormat="1">
      <c r="A81" s="188" t="s">
        <v>827</v>
      </c>
      <c r="B81" s="243">
        <v>2722</v>
      </c>
      <c r="C81" s="243">
        <v>2722</v>
      </c>
      <c r="D81" s="239" t="s">
        <v>974</v>
      </c>
      <c r="E81" s="191" t="s">
        <v>15</v>
      </c>
      <c r="F81" s="191" t="s">
        <v>59</v>
      </c>
      <c r="G81" s="210"/>
      <c r="H81" s="193">
        <f t="shared" si="12"/>
        <v>42.850999999999999</v>
      </c>
      <c r="I81" s="199">
        <v>0.1174</v>
      </c>
      <c r="J81" s="194">
        <f t="shared" si="10"/>
        <v>3.5220000000000002</v>
      </c>
      <c r="K81" s="194">
        <f t="shared" si="8"/>
        <v>42.850999999999999</v>
      </c>
      <c r="L81" s="199">
        <v>0.1174</v>
      </c>
      <c r="M81" s="194">
        <f t="shared" si="11"/>
        <v>3.5220000000000002</v>
      </c>
      <c r="N81" s="194">
        <f t="shared" si="13"/>
        <v>0</v>
      </c>
      <c r="O81" s="195"/>
      <c r="P81" s="195"/>
      <c r="Q81" s="195"/>
      <c r="R81" s="195"/>
      <c r="S81" s="195"/>
      <c r="T81" s="195"/>
      <c r="U81" s="195"/>
      <c r="V81" s="195"/>
      <c r="W81" s="195"/>
      <c r="X81" s="195"/>
      <c r="Y81" s="195"/>
      <c r="Z81" s="195"/>
      <c r="AA81" s="195"/>
      <c r="AB81" s="195"/>
      <c r="AC81" s="196"/>
      <c r="AD81" s="196"/>
      <c r="AE81" s="196"/>
      <c r="AF81" s="196"/>
      <c r="AG81" s="196"/>
      <c r="AH81" s="196"/>
      <c r="AI81" s="196"/>
      <c r="AJ81" s="195"/>
      <c r="AK81" s="195"/>
      <c r="AL81" s="195"/>
      <c r="AM81" s="195"/>
      <c r="AN81" s="195"/>
      <c r="AO81" s="195"/>
      <c r="AP81" s="195"/>
      <c r="AQ81" s="195"/>
      <c r="AR81" s="195"/>
      <c r="AS81" s="195"/>
      <c r="AT81" s="195"/>
      <c r="AU81" s="195"/>
      <c r="AV81" s="195"/>
      <c r="AW81" s="195"/>
      <c r="AX81" s="226">
        <v>20</v>
      </c>
      <c r="AY81" s="226">
        <v>20</v>
      </c>
      <c r="AZ81" s="231" t="s">
        <v>765</v>
      </c>
      <c r="BA81" s="217" t="s">
        <v>975</v>
      </c>
    </row>
    <row r="82" spans="1:53" s="187" customFormat="1">
      <c r="A82" s="188" t="s">
        <v>827</v>
      </c>
      <c r="B82" s="236">
        <v>2723</v>
      </c>
      <c r="C82" s="236">
        <v>2723</v>
      </c>
      <c r="D82" s="188" t="s">
        <v>976</v>
      </c>
      <c r="E82" s="191" t="s">
        <v>865</v>
      </c>
      <c r="F82" s="191" t="s">
        <v>59</v>
      </c>
      <c r="G82" s="192"/>
      <c r="H82" s="193">
        <v>12.3735</v>
      </c>
      <c r="I82" s="199">
        <v>3.39E-2</v>
      </c>
      <c r="J82" s="194">
        <f t="shared" si="10"/>
        <v>1.0169999999999999</v>
      </c>
      <c r="K82" s="194">
        <v>7.4459999999999997</v>
      </c>
      <c r="L82" s="199">
        <v>2.0400000000000001E-2</v>
      </c>
      <c r="M82" s="194">
        <f t="shared" si="11"/>
        <v>0.6120000000000001</v>
      </c>
      <c r="N82" s="194">
        <f t="shared" si="13"/>
        <v>-1.3499999999999998E-2</v>
      </c>
      <c r="O82" s="195"/>
      <c r="P82" s="195"/>
      <c r="Q82" s="195"/>
      <c r="R82" s="195"/>
      <c r="S82" s="195"/>
      <c r="T82" s="195"/>
      <c r="U82" s="195"/>
      <c r="V82" s="195"/>
      <c r="W82" s="195"/>
      <c r="X82" s="195"/>
      <c r="Y82" s="195"/>
      <c r="Z82" s="195"/>
      <c r="AA82" s="195"/>
      <c r="AB82" s="195"/>
      <c r="AC82" s="196"/>
      <c r="AD82" s="196"/>
      <c r="AE82" s="196"/>
      <c r="AF82" s="196"/>
      <c r="AG82" s="196"/>
      <c r="AH82" s="196"/>
      <c r="AI82" s="196"/>
      <c r="AJ82" s="195"/>
      <c r="AK82" s="195"/>
      <c r="AL82" s="195"/>
      <c r="AM82" s="195"/>
      <c r="AN82" s="195"/>
      <c r="AO82" s="195"/>
      <c r="AP82" s="195"/>
      <c r="AQ82" s="195"/>
      <c r="AR82" s="195"/>
      <c r="AS82" s="195"/>
      <c r="AT82" s="195"/>
      <c r="AU82" s="195"/>
      <c r="AV82" s="195"/>
      <c r="AW82" s="195"/>
      <c r="AX82" s="226">
        <v>20</v>
      </c>
      <c r="AY82" s="226">
        <v>20</v>
      </c>
      <c r="AZ82" s="231" t="s">
        <v>977</v>
      </c>
      <c r="BA82" s="217" t="s">
        <v>833</v>
      </c>
    </row>
    <row r="83" spans="1:53" s="187" customFormat="1">
      <c r="A83" s="188" t="s">
        <v>827</v>
      </c>
      <c r="B83" s="236">
        <v>2753</v>
      </c>
      <c r="C83" s="236">
        <v>2753</v>
      </c>
      <c r="D83" s="188" t="s">
        <v>978</v>
      </c>
      <c r="E83" s="191" t="s">
        <v>15</v>
      </c>
      <c r="F83" s="191" t="s">
        <v>59</v>
      </c>
      <c r="G83" s="192"/>
      <c r="H83" s="193">
        <f t="shared" ref="H83:H97" si="14">I83*365</f>
        <v>5.548</v>
      </c>
      <c r="I83" s="199">
        <v>1.52E-2</v>
      </c>
      <c r="J83" s="194">
        <f t="shared" si="10"/>
        <v>0.45600000000000002</v>
      </c>
      <c r="K83" s="194">
        <f t="shared" ref="K83:K97" si="15">L83*365</f>
        <v>5.548</v>
      </c>
      <c r="L83" s="199">
        <v>1.52E-2</v>
      </c>
      <c r="M83" s="194">
        <f t="shared" si="11"/>
        <v>0.45600000000000002</v>
      </c>
      <c r="N83" s="194">
        <f t="shared" si="13"/>
        <v>0</v>
      </c>
      <c r="O83" s="195"/>
      <c r="P83" s="195"/>
      <c r="Q83" s="195"/>
      <c r="R83" s="195"/>
      <c r="S83" s="195"/>
      <c r="T83" s="195"/>
      <c r="U83" s="195"/>
      <c r="V83" s="195"/>
      <c r="W83" s="195"/>
      <c r="X83" s="195"/>
      <c r="Y83" s="195"/>
      <c r="Z83" s="195"/>
      <c r="AA83" s="195"/>
      <c r="AB83" s="195"/>
      <c r="AC83" s="196"/>
      <c r="AD83" s="196"/>
      <c r="AE83" s="196"/>
      <c r="AF83" s="196"/>
      <c r="AG83" s="196"/>
      <c r="AH83" s="196"/>
      <c r="AI83" s="196"/>
      <c r="AJ83" s="195"/>
      <c r="AK83" s="195"/>
      <c r="AL83" s="195"/>
      <c r="AM83" s="195"/>
      <c r="AN83" s="195"/>
      <c r="AO83" s="195"/>
      <c r="AP83" s="195"/>
      <c r="AQ83" s="195"/>
      <c r="AR83" s="195"/>
      <c r="AS83" s="195"/>
      <c r="AT83" s="195"/>
      <c r="AU83" s="195"/>
      <c r="AV83" s="195"/>
      <c r="AW83" s="195"/>
      <c r="AX83" s="226">
        <v>20</v>
      </c>
      <c r="AY83" s="226">
        <v>20</v>
      </c>
      <c r="AZ83" s="231" t="s">
        <v>765</v>
      </c>
      <c r="BA83" s="217" t="s">
        <v>830</v>
      </c>
    </row>
    <row r="84" spans="1:53" s="187" customFormat="1">
      <c r="A84" s="188" t="s">
        <v>827</v>
      </c>
      <c r="B84" s="236">
        <v>3007</v>
      </c>
      <c r="C84" s="236">
        <v>3007</v>
      </c>
      <c r="D84" s="188" t="s">
        <v>979</v>
      </c>
      <c r="E84" s="191" t="s">
        <v>15</v>
      </c>
      <c r="F84" s="191" t="s">
        <v>59</v>
      </c>
      <c r="G84" s="192"/>
      <c r="H84" s="193">
        <f t="shared" si="14"/>
        <v>10.585000000000001</v>
      </c>
      <c r="I84" s="199">
        <v>2.9000000000000001E-2</v>
      </c>
      <c r="J84" s="194">
        <f t="shared" si="10"/>
        <v>0.87</v>
      </c>
      <c r="K84" s="194">
        <f t="shared" si="15"/>
        <v>10.585000000000001</v>
      </c>
      <c r="L84" s="199">
        <v>2.9000000000000001E-2</v>
      </c>
      <c r="M84" s="194">
        <f t="shared" si="11"/>
        <v>0.87</v>
      </c>
      <c r="N84" s="194">
        <f t="shared" si="13"/>
        <v>0</v>
      </c>
      <c r="O84" s="195"/>
      <c r="P84" s="195"/>
      <c r="Q84" s="195"/>
      <c r="R84" s="195"/>
      <c r="S84" s="195"/>
      <c r="T84" s="195"/>
      <c r="U84" s="195"/>
      <c r="V84" s="195"/>
      <c r="W84" s="195"/>
      <c r="X84" s="195"/>
      <c r="Y84" s="195"/>
      <c r="Z84" s="195"/>
      <c r="AA84" s="195"/>
      <c r="AB84" s="195"/>
      <c r="AC84" s="196"/>
      <c r="AD84" s="196"/>
      <c r="AE84" s="196"/>
      <c r="AF84" s="196"/>
      <c r="AG84" s="196"/>
      <c r="AH84" s="196"/>
      <c r="AI84" s="196"/>
      <c r="AJ84" s="195"/>
      <c r="AK84" s="195"/>
      <c r="AL84" s="195"/>
      <c r="AM84" s="195"/>
      <c r="AN84" s="195"/>
      <c r="AO84" s="195"/>
      <c r="AP84" s="195"/>
      <c r="AQ84" s="195"/>
      <c r="AR84" s="195"/>
      <c r="AS84" s="195"/>
      <c r="AT84" s="195"/>
      <c r="AU84" s="195"/>
      <c r="AV84" s="195"/>
      <c r="AW84" s="195"/>
      <c r="AX84" s="226" t="s">
        <v>482</v>
      </c>
      <c r="AY84" s="226" t="s">
        <v>482</v>
      </c>
      <c r="AZ84" s="231" t="s">
        <v>980</v>
      </c>
      <c r="BA84" s="217" t="s">
        <v>855</v>
      </c>
    </row>
    <row r="85" spans="1:53" s="187" customFormat="1">
      <c r="A85" s="188" t="s">
        <v>827</v>
      </c>
      <c r="B85" s="219">
        <v>3094</v>
      </c>
      <c r="C85" s="219">
        <v>3094</v>
      </c>
      <c r="D85" s="190" t="s">
        <v>981</v>
      </c>
      <c r="E85" s="191" t="s">
        <v>15</v>
      </c>
      <c r="F85" s="191" t="s">
        <v>59</v>
      </c>
      <c r="G85" s="191"/>
      <c r="H85" s="193">
        <f t="shared" si="14"/>
        <v>12.154500000000001</v>
      </c>
      <c r="I85" s="194">
        <v>3.3300000000000003E-2</v>
      </c>
      <c r="J85" s="194">
        <f t="shared" si="10"/>
        <v>0.99900000000000011</v>
      </c>
      <c r="K85" s="194">
        <f t="shared" si="15"/>
        <v>12.555999999999999</v>
      </c>
      <c r="L85" s="194">
        <v>3.44E-2</v>
      </c>
      <c r="M85" s="194">
        <f t="shared" si="11"/>
        <v>1.032</v>
      </c>
      <c r="N85" s="194">
        <f t="shared" si="13"/>
        <v>1.0999999999999968E-3</v>
      </c>
      <c r="O85" s="195"/>
      <c r="P85" s="195"/>
      <c r="Q85" s="195"/>
      <c r="R85" s="195"/>
      <c r="S85" s="195"/>
      <c r="T85" s="195"/>
      <c r="U85" s="195"/>
      <c r="V85" s="195"/>
      <c r="W85" s="195"/>
      <c r="X85" s="195"/>
      <c r="Y85" s="195"/>
      <c r="Z85" s="195"/>
      <c r="AA85" s="195"/>
      <c r="AB85" s="195"/>
      <c r="AC85" s="196"/>
      <c r="AD85" s="196"/>
      <c r="AE85" s="196"/>
      <c r="AF85" s="196"/>
      <c r="AG85" s="196"/>
      <c r="AH85" s="196"/>
      <c r="AI85" s="196"/>
      <c r="AJ85" s="195"/>
      <c r="AK85" s="195"/>
      <c r="AL85" s="195"/>
      <c r="AM85" s="195"/>
      <c r="AN85" s="195"/>
      <c r="AO85" s="195"/>
      <c r="AP85" s="195"/>
      <c r="AQ85" s="195"/>
      <c r="AR85" s="195"/>
      <c r="AS85" s="195"/>
      <c r="AT85" s="195"/>
      <c r="AU85" s="195"/>
      <c r="AV85" s="195"/>
      <c r="AW85" s="195"/>
      <c r="AX85" s="191">
        <v>20</v>
      </c>
      <c r="AY85" s="215">
        <v>20</v>
      </c>
      <c r="AZ85" s="207" t="s">
        <v>882</v>
      </c>
      <c r="BA85" s="190" t="s">
        <v>830</v>
      </c>
    </row>
    <row r="86" spans="1:53" s="187" customFormat="1">
      <c r="A86" s="188" t="s">
        <v>827</v>
      </c>
      <c r="B86" s="240">
        <v>3146</v>
      </c>
      <c r="C86" s="240">
        <v>3146</v>
      </c>
      <c r="D86" s="214" t="s">
        <v>982</v>
      </c>
      <c r="E86" s="191" t="s">
        <v>15</v>
      </c>
      <c r="F86" s="191" t="s">
        <v>58</v>
      </c>
      <c r="G86" s="191"/>
      <c r="H86" s="193">
        <f t="shared" si="14"/>
        <v>1.2775000000000001</v>
      </c>
      <c r="I86" s="194">
        <v>3.5000000000000001E-3</v>
      </c>
      <c r="J86" s="194">
        <f t="shared" si="10"/>
        <v>0.105</v>
      </c>
      <c r="K86" s="194">
        <f t="shared" si="15"/>
        <v>1.2775000000000001</v>
      </c>
      <c r="L86" s="194">
        <v>3.5000000000000001E-3</v>
      </c>
      <c r="M86" s="194">
        <f t="shared" si="11"/>
        <v>0.105</v>
      </c>
      <c r="N86" s="194">
        <f t="shared" si="13"/>
        <v>0</v>
      </c>
      <c r="O86" s="195"/>
      <c r="P86" s="195"/>
      <c r="Q86" s="195"/>
      <c r="R86" s="195"/>
      <c r="S86" s="195"/>
      <c r="T86" s="195"/>
      <c r="U86" s="195"/>
      <c r="V86" s="195"/>
      <c r="W86" s="195"/>
      <c r="X86" s="195"/>
      <c r="Y86" s="195"/>
      <c r="Z86" s="195"/>
      <c r="AA86" s="195"/>
      <c r="AB86" s="195"/>
      <c r="AC86" s="196"/>
      <c r="AD86" s="196"/>
      <c r="AE86" s="196"/>
      <c r="AF86" s="196"/>
      <c r="AG86" s="196"/>
      <c r="AH86" s="196"/>
      <c r="AI86" s="196"/>
      <c r="AJ86" s="195"/>
      <c r="AK86" s="195"/>
      <c r="AL86" s="195"/>
      <c r="AM86" s="195"/>
      <c r="AN86" s="195"/>
      <c r="AO86" s="195"/>
      <c r="AP86" s="195"/>
      <c r="AQ86" s="195"/>
      <c r="AR86" s="195"/>
      <c r="AS86" s="195"/>
      <c r="AT86" s="195"/>
      <c r="AU86" s="195"/>
      <c r="AV86" s="195"/>
      <c r="AW86" s="195"/>
      <c r="AX86" s="224">
        <v>20</v>
      </c>
      <c r="AY86" s="225">
        <v>20</v>
      </c>
      <c r="AZ86" s="216" t="s">
        <v>983</v>
      </c>
      <c r="BA86" s="235" t="s">
        <v>833</v>
      </c>
    </row>
    <row r="87" spans="1:53" s="187" customFormat="1">
      <c r="A87" s="188" t="s">
        <v>827</v>
      </c>
      <c r="B87" s="244">
        <v>3189</v>
      </c>
      <c r="C87" s="244">
        <v>3189</v>
      </c>
      <c r="D87" s="223" t="s">
        <v>984</v>
      </c>
      <c r="E87" s="191" t="s">
        <v>15</v>
      </c>
      <c r="F87" s="191" t="s">
        <v>59</v>
      </c>
      <c r="G87" s="192"/>
      <c r="H87" s="193">
        <f t="shared" si="14"/>
        <v>8.5775000000000006</v>
      </c>
      <c r="I87" s="199">
        <v>2.35E-2</v>
      </c>
      <c r="J87" s="194">
        <f t="shared" si="10"/>
        <v>0.70499999999999996</v>
      </c>
      <c r="K87" s="194">
        <f t="shared" si="15"/>
        <v>13.9795</v>
      </c>
      <c r="L87" s="199">
        <v>3.8300000000000001E-2</v>
      </c>
      <c r="M87" s="194">
        <f t="shared" si="11"/>
        <v>1.149</v>
      </c>
      <c r="N87" s="194">
        <f t="shared" si="13"/>
        <v>1.4800000000000001E-2</v>
      </c>
      <c r="O87" s="195"/>
      <c r="P87" s="195"/>
      <c r="Q87" s="195"/>
      <c r="R87" s="195"/>
      <c r="S87" s="195"/>
      <c r="T87" s="195"/>
      <c r="U87" s="195"/>
      <c r="V87" s="195"/>
      <c r="W87" s="195"/>
      <c r="X87" s="195"/>
      <c r="Y87" s="195"/>
      <c r="Z87" s="195"/>
      <c r="AA87" s="195"/>
      <c r="AB87" s="195"/>
      <c r="AC87" s="196"/>
      <c r="AD87" s="196"/>
      <c r="AE87" s="196"/>
      <c r="AF87" s="196"/>
      <c r="AG87" s="196"/>
      <c r="AH87" s="196"/>
      <c r="AI87" s="196"/>
      <c r="AJ87" s="195"/>
      <c r="AK87" s="195"/>
      <c r="AL87" s="195"/>
      <c r="AM87" s="195"/>
      <c r="AN87" s="195"/>
      <c r="AO87" s="195"/>
      <c r="AP87" s="195"/>
      <c r="AQ87" s="195"/>
      <c r="AR87" s="195"/>
      <c r="AS87" s="195"/>
      <c r="AT87" s="195"/>
      <c r="AU87" s="195"/>
      <c r="AV87" s="195"/>
      <c r="AW87" s="195"/>
      <c r="AX87" s="241" t="s">
        <v>482</v>
      </c>
      <c r="AY87" s="241" t="s">
        <v>482</v>
      </c>
      <c r="AZ87" s="234" t="s">
        <v>985</v>
      </c>
      <c r="BA87" s="222" t="s">
        <v>878</v>
      </c>
    </row>
    <row r="88" spans="1:53" s="187" customFormat="1">
      <c r="A88" s="188" t="s">
        <v>827</v>
      </c>
      <c r="B88" s="244">
        <v>3226</v>
      </c>
      <c r="C88" s="244">
        <v>3226</v>
      </c>
      <c r="D88" s="234" t="s">
        <v>986</v>
      </c>
      <c r="E88" s="191" t="s">
        <v>15</v>
      </c>
      <c r="F88" s="191" t="s">
        <v>59</v>
      </c>
      <c r="G88" s="224"/>
      <c r="H88" s="194">
        <f t="shared" si="14"/>
        <v>36.135000000000005</v>
      </c>
      <c r="I88" s="199">
        <v>9.9000000000000005E-2</v>
      </c>
      <c r="J88" s="194">
        <f t="shared" si="10"/>
        <v>2.97</v>
      </c>
      <c r="K88" s="194">
        <f t="shared" si="15"/>
        <v>35.697000000000003</v>
      </c>
      <c r="L88" s="199">
        <v>9.7799999999999998E-2</v>
      </c>
      <c r="M88" s="194">
        <f t="shared" si="11"/>
        <v>2.9340000000000002</v>
      </c>
      <c r="N88" s="194">
        <f t="shared" si="13"/>
        <v>-1.2000000000000066E-3</v>
      </c>
      <c r="O88" s="195"/>
      <c r="P88" s="195"/>
      <c r="Q88" s="195"/>
      <c r="R88" s="195"/>
      <c r="S88" s="195"/>
      <c r="T88" s="195"/>
      <c r="U88" s="195"/>
      <c r="V88" s="195"/>
      <c r="W88" s="195"/>
      <c r="X88" s="195"/>
      <c r="Y88" s="195"/>
      <c r="Z88" s="195"/>
      <c r="AA88" s="195"/>
      <c r="AB88" s="195"/>
      <c r="AC88" s="196"/>
      <c r="AD88" s="196"/>
      <c r="AE88" s="196"/>
      <c r="AF88" s="196"/>
      <c r="AG88" s="196"/>
      <c r="AH88" s="196"/>
      <c r="AI88" s="196"/>
      <c r="AJ88" s="195"/>
      <c r="AK88" s="195"/>
      <c r="AL88" s="195"/>
      <c r="AM88" s="195"/>
      <c r="AN88" s="195"/>
      <c r="AO88" s="195"/>
      <c r="AP88" s="195"/>
      <c r="AQ88" s="195"/>
      <c r="AR88" s="195"/>
      <c r="AS88" s="195"/>
      <c r="AT88" s="195"/>
      <c r="AU88" s="195"/>
      <c r="AV88" s="195"/>
      <c r="AW88" s="195"/>
      <c r="AX88" s="241">
        <v>20</v>
      </c>
      <c r="AY88" s="241">
        <v>20</v>
      </c>
      <c r="AZ88" s="234" t="s">
        <v>987</v>
      </c>
      <c r="BA88" s="222" t="s">
        <v>988</v>
      </c>
    </row>
    <row r="89" spans="1:53" s="187" customFormat="1">
      <c r="A89" s="188" t="s">
        <v>827</v>
      </c>
      <c r="B89" s="240">
        <v>3367</v>
      </c>
      <c r="C89" s="240">
        <v>3367</v>
      </c>
      <c r="D89" s="214" t="s">
        <v>989</v>
      </c>
      <c r="E89" s="191" t="s">
        <v>875</v>
      </c>
      <c r="F89" s="191" t="s">
        <v>59</v>
      </c>
      <c r="G89" s="224"/>
      <c r="H89" s="193">
        <f t="shared" si="14"/>
        <v>0</v>
      </c>
      <c r="I89" s="194">
        <v>0</v>
      </c>
      <c r="J89" s="194">
        <f t="shared" si="10"/>
        <v>0</v>
      </c>
      <c r="K89" s="194">
        <f t="shared" si="15"/>
        <v>13.3225</v>
      </c>
      <c r="L89" s="194">
        <v>3.6499999999999998E-2</v>
      </c>
      <c r="M89" s="194">
        <f t="shared" si="11"/>
        <v>1.095</v>
      </c>
      <c r="N89" s="194">
        <f t="shared" si="13"/>
        <v>3.6499999999999998E-2</v>
      </c>
      <c r="O89" s="195"/>
      <c r="P89" s="195"/>
      <c r="Q89" s="195"/>
      <c r="R89" s="195"/>
      <c r="S89" s="195"/>
      <c r="T89" s="195"/>
      <c r="U89" s="195"/>
      <c r="V89" s="195"/>
      <c r="W89" s="195"/>
      <c r="X89" s="195"/>
      <c r="Y89" s="195"/>
      <c r="Z89" s="195"/>
      <c r="AA89" s="195"/>
      <c r="AB89" s="195"/>
      <c r="AC89" s="196"/>
      <c r="AD89" s="196"/>
      <c r="AE89" s="196"/>
      <c r="AF89" s="196"/>
      <c r="AG89" s="196"/>
      <c r="AH89" s="196"/>
      <c r="AI89" s="196"/>
      <c r="AJ89" s="195"/>
      <c r="AK89" s="195"/>
      <c r="AL89" s="195"/>
      <c r="AM89" s="195"/>
      <c r="AN89" s="195"/>
      <c r="AO89" s="195"/>
      <c r="AP89" s="195"/>
      <c r="AQ89" s="195"/>
      <c r="AR89" s="195"/>
      <c r="AS89" s="195"/>
      <c r="AT89" s="195"/>
      <c r="AU89" s="195"/>
      <c r="AV89" s="195"/>
      <c r="AW89" s="195"/>
      <c r="AX89" s="224">
        <v>20</v>
      </c>
      <c r="AY89" s="225">
        <v>20</v>
      </c>
      <c r="AZ89" s="216" t="s">
        <v>852</v>
      </c>
      <c r="BA89" s="235" t="s">
        <v>830</v>
      </c>
    </row>
    <row r="90" spans="1:53" s="187" customFormat="1">
      <c r="A90" s="188" t="s">
        <v>827</v>
      </c>
      <c r="B90" s="244">
        <v>3396</v>
      </c>
      <c r="C90" s="244">
        <v>3396</v>
      </c>
      <c r="D90" s="223" t="s">
        <v>990</v>
      </c>
      <c r="E90" s="191" t="s">
        <v>15</v>
      </c>
      <c r="F90" s="191" t="s">
        <v>59</v>
      </c>
      <c r="G90" s="220"/>
      <c r="H90" s="193">
        <f t="shared" si="14"/>
        <v>29.601500000000001</v>
      </c>
      <c r="I90" s="199">
        <v>8.1100000000000005E-2</v>
      </c>
      <c r="J90" s="194">
        <f t="shared" si="10"/>
        <v>2.4330000000000003</v>
      </c>
      <c r="K90" s="194">
        <f t="shared" si="15"/>
        <v>29.601500000000001</v>
      </c>
      <c r="L90" s="199">
        <v>8.1100000000000005E-2</v>
      </c>
      <c r="M90" s="194">
        <f t="shared" si="11"/>
        <v>2.4330000000000003</v>
      </c>
      <c r="N90" s="194">
        <f t="shared" si="13"/>
        <v>0</v>
      </c>
      <c r="O90" s="195"/>
      <c r="P90" s="195"/>
      <c r="Q90" s="195"/>
      <c r="R90" s="195"/>
      <c r="S90" s="195"/>
      <c r="T90" s="195"/>
      <c r="U90" s="195"/>
      <c r="V90" s="195"/>
      <c r="W90" s="195"/>
      <c r="X90" s="195"/>
      <c r="Y90" s="195"/>
      <c r="Z90" s="195"/>
      <c r="AA90" s="195"/>
      <c r="AB90" s="195"/>
      <c r="AC90" s="196"/>
      <c r="AD90" s="196"/>
      <c r="AE90" s="196"/>
      <c r="AF90" s="196"/>
      <c r="AG90" s="196"/>
      <c r="AH90" s="196"/>
      <c r="AI90" s="196"/>
      <c r="AJ90" s="195"/>
      <c r="AK90" s="195"/>
      <c r="AL90" s="195"/>
      <c r="AM90" s="195"/>
      <c r="AN90" s="195"/>
      <c r="AO90" s="195"/>
      <c r="AP90" s="195"/>
      <c r="AQ90" s="195"/>
      <c r="AR90" s="195"/>
      <c r="AS90" s="195"/>
      <c r="AT90" s="195"/>
      <c r="AU90" s="195"/>
      <c r="AV90" s="195"/>
      <c r="AW90" s="195"/>
      <c r="AX90" s="241">
        <v>20</v>
      </c>
      <c r="AY90" s="241">
        <v>20</v>
      </c>
      <c r="AZ90" s="234" t="s">
        <v>832</v>
      </c>
      <c r="BA90" s="222" t="s">
        <v>991</v>
      </c>
    </row>
    <row r="91" spans="1:53" s="187" customFormat="1">
      <c r="A91" s="188" t="s">
        <v>827</v>
      </c>
      <c r="B91" s="240">
        <v>3457</v>
      </c>
      <c r="C91" s="240">
        <v>3457</v>
      </c>
      <c r="D91" s="214" t="s">
        <v>992</v>
      </c>
      <c r="E91" s="191" t="s">
        <v>15</v>
      </c>
      <c r="F91" s="191" t="s">
        <v>59</v>
      </c>
      <c r="G91" s="191"/>
      <c r="H91" s="193">
        <f t="shared" si="14"/>
        <v>0</v>
      </c>
      <c r="I91" s="194">
        <v>0</v>
      </c>
      <c r="J91" s="194">
        <f t="shared" si="10"/>
        <v>0</v>
      </c>
      <c r="K91" s="194">
        <f t="shared" si="15"/>
        <v>32.594500000000004</v>
      </c>
      <c r="L91" s="194">
        <v>8.9300000000000004E-2</v>
      </c>
      <c r="M91" s="194">
        <f t="shared" si="11"/>
        <v>2.6790000000000003</v>
      </c>
      <c r="N91" s="194">
        <f t="shared" si="13"/>
        <v>8.9300000000000004E-2</v>
      </c>
      <c r="O91" s="195"/>
      <c r="P91" s="195"/>
      <c r="Q91" s="195"/>
      <c r="R91" s="195"/>
      <c r="S91" s="195"/>
      <c r="T91" s="195"/>
      <c r="U91" s="195"/>
      <c r="V91" s="195"/>
      <c r="W91" s="195"/>
      <c r="X91" s="195"/>
      <c r="Y91" s="195"/>
      <c r="Z91" s="195"/>
      <c r="AA91" s="195"/>
      <c r="AB91" s="195"/>
      <c r="AC91" s="196"/>
      <c r="AD91" s="196"/>
      <c r="AE91" s="196"/>
      <c r="AF91" s="196"/>
      <c r="AG91" s="196"/>
      <c r="AH91" s="196"/>
      <c r="AI91" s="196"/>
      <c r="AJ91" s="195"/>
      <c r="AK91" s="195"/>
      <c r="AL91" s="195"/>
      <c r="AM91" s="195"/>
      <c r="AN91" s="195"/>
      <c r="AO91" s="195"/>
      <c r="AP91" s="195"/>
      <c r="AQ91" s="195"/>
      <c r="AR91" s="195"/>
      <c r="AS91" s="195"/>
      <c r="AT91" s="195"/>
      <c r="AU91" s="195"/>
      <c r="AV91" s="195"/>
      <c r="AW91" s="195"/>
      <c r="AX91" s="191">
        <v>20</v>
      </c>
      <c r="AY91" s="215" t="s">
        <v>851</v>
      </c>
      <c r="AZ91" s="216" t="s">
        <v>852</v>
      </c>
      <c r="BA91" s="235" t="s">
        <v>830</v>
      </c>
    </row>
    <row r="92" spans="1:53" s="187" customFormat="1">
      <c r="A92" s="188" t="s">
        <v>827</v>
      </c>
      <c r="B92" s="240">
        <v>3460</v>
      </c>
      <c r="C92" s="240">
        <v>3460</v>
      </c>
      <c r="D92" s="214" t="s">
        <v>993</v>
      </c>
      <c r="E92" s="191" t="s">
        <v>15</v>
      </c>
      <c r="F92" s="191" t="s">
        <v>59</v>
      </c>
      <c r="G92" s="224"/>
      <c r="H92" s="193">
        <f t="shared" si="14"/>
        <v>8.1760000000000002</v>
      </c>
      <c r="I92" s="194">
        <v>2.24E-2</v>
      </c>
      <c r="J92" s="194">
        <f t="shared" si="10"/>
        <v>0.67200000000000004</v>
      </c>
      <c r="K92" s="194">
        <f t="shared" si="15"/>
        <v>7.9205000000000005</v>
      </c>
      <c r="L92" s="194">
        <v>2.1700000000000001E-2</v>
      </c>
      <c r="M92" s="194">
        <f t="shared" si="11"/>
        <v>0.65100000000000002</v>
      </c>
      <c r="N92" s="194">
        <f t="shared" si="13"/>
        <v>-6.9999999999999923E-4</v>
      </c>
      <c r="O92" s="195"/>
      <c r="P92" s="195"/>
      <c r="Q92" s="195"/>
      <c r="R92" s="195"/>
      <c r="S92" s="195"/>
      <c r="T92" s="195"/>
      <c r="U92" s="195"/>
      <c r="V92" s="195"/>
      <c r="W92" s="195"/>
      <c r="X92" s="195"/>
      <c r="Y92" s="195"/>
      <c r="Z92" s="195"/>
      <c r="AA92" s="195"/>
      <c r="AB92" s="195"/>
      <c r="AC92" s="196"/>
      <c r="AD92" s="196"/>
      <c r="AE92" s="196"/>
      <c r="AF92" s="196"/>
      <c r="AG92" s="196"/>
      <c r="AH92" s="196"/>
      <c r="AI92" s="196"/>
      <c r="AJ92" s="195"/>
      <c r="AK92" s="195"/>
      <c r="AL92" s="195"/>
      <c r="AM92" s="195"/>
      <c r="AN92" s="195"/>
      <c r="AO92" s="195"/>
      <c r="AP92" s="195"/>
      <c r="AQ92" s="195"/>
      <c r="AR92" s="195"/>
      <c r="AS92" s="195"/>
      <c r="AT92" s="195"/>
      <c r="AU92" s="195"/>
      <c r="AV92" s="195"/>
      <c r="AW92" s="195"/>
      <c r="AX92" s="191">
        <v>20</v>
      </c>
      <c r="AY92" s="215">
        <v>20</v>
      </c>
      <c r="AZ92" s="207" t="s">
        <v>994</v>
      </c>
      <c r="BA92" s="214" t="s">
        <v>995</v>
      </c>
    </row>
    <row r="93" spans="1:53" s="187" customFormat="1">
      <c r="A93" s="188" t="s">
        <v>827</v>
      </c>
      <c r="B93" s="244">
        <v>3464</v>
      </c>
      <c r="C93" s="244">
        <v>3464</v>
      </c>
      <c r="D93" s="234" t="s">
        <v>996</v>
      </c>
      <c r="E93" s="191" t="s">
        <v>15</v>
      </c>
      <c r="F93" s="191" t="s">
        <v>59</v>
      </c>
      <c r="G93" s="224"/>
      <c r="H93" s="193">
        <f t="shared" si="14"/>
        <v>7.0445000000000002</v>
      </c>
      <c r="I93" s="199">
        <v>1.9300000000000001E-2</v>
      </c>
      <c r="J93" s="194">
        <f t="shared" si="10"/>
        <v>0.57900000000000007</v>
      </c>
      <c r="K93" s="194">
        <f t="shared" si="15"/>
        <v>7.0445000000000002</v>
      </c>
      <c r="L93" s="199">
        <v>1.9300000000000001E-2</v>
      </c>
      <c r="M93" s="194">
        <f t="shared" si="11"/>
        <v>0.57900000000000007</v>
      </c>
      <c r="N93" s="194">
        <f t="shared" si="13"/>
        <v>0</v>
      </c>
      <c r="O93" s="195"/>
      <c r="P93" s="195"/>
      <c r="Q93" s="195"/>
      <c r="R93" s="195"/>
      <c r="S93" s="195"/>
      <c r="T93" s="195"/>
      <c r="U93" s="195"/>
      <c r="V93" s="195"/>
      <c r="W93" s="195"/>
      <c r="X93" s="195"/>
      <c r="Y93" s="195"/>
      <c r="Z93" s="195"/>
      <c r="AA93" s="195"/>
      <c r="AB93" s="195"/>
      <c r="AC93" s="196"/>
      <c r="AD93" s="196"/>
      <c r="AE93" s="196"/>
      <c r="AF93" s="196"/>
      <c r="AG93" s="196"/>
      <c r="AH93" s="196"/>
      <c r="AI93" s="196"/>
      <c r="AJ93" s="195"/>
      <c r="AK93" s="195"/>
      <c r="AL93" s="195"/>
      <c r="AM93" s="195"/>
      <c r="AN93" s="195"/>
      <c r="AO93" s="195"/>
      <c r="AP93" s="195"/>
      <c r="AQ93" s="195"/>
      <c r="AR93" s="195"/>
      <c r="AS93" s="195"/>
      <c r="AT93" s="195"/>
      <c r="AU93" s="195"/>
      <c r="AV93" s="195"/>
      <c r="AW93" s="195"/>
      <c r="AX93" s="241">
        <v>10</v>
      </c>
      <c r="AY93" s="241" t="s">
        <v>851</v>
      </c>
      <c r="AZ93" s="234" t="s">
        <v>765</v>
      </c>
      <c r="BA93" s="245" t="s">
        <v>830</v>
      </c>
    </row>
    <row r="94" spans="1:53" s="187" customFormat="1">
      <c r="A94" s="188" t="s">
        <v>827</v>
      </c>
      <c r="B94" s="236">
        <v>3469</v>
      </c>
      <c r="C94" s="236">
        <v>3469</v>
      </c>
      <c r="D94" s="188" t="s">
        <v>997</v>
      </c>
      <c r="E94" s="191" t="s">
        <v>15</v>
      </c>
      <c r="F94" s="191" t="s">
        <v>59</v>
      </c>
      <c r="G94" s="192"/>
      <c r="H94" s="193">
        <f t="shared" si="14"/>
        <v>5.694</v>
      </c>
      <c r="I94" s="199">
        <v>1.5599999999999999E-2</v>
      </c>
      <c r="J94" s="194">
        <f t="shared" si="10"/>
        <v>0.46799999999999997</v>
      </c>
      <c r="K94" s="194">
        <f t="shared" si="15"/>
        <v>5.694</v>
      </c>
      <c r="L94" s="199">
        <v>1.5599999999999999E-2</v>
      </c>
      <c r="M94" s="194">
        <f t="shared" si="11"/>
        <v>0.46799999999999997</v>
      </c>
      <c r="N94" s="194">
        <f t="shared" si="13"/>
        <v>0</v>
      </c>
      <c r="O94" s="195"/>
      <c r="P94" s="195"/>
      <c r="Q94" s="195"/>
      <c r="R94" s="195"/>
      <c r="S94" s="195"/>
      <c r="T94" s="195"/>
      <c r="U94" s="195"/>
      <c r="V94" s="195"/>
      <c r="W94" s="195"/>
      <c r="X94" s="195"/>
      <c r="Y94" s="195"/>
      <c r="Z94" s="195"/>
      <c r="AA94" s="195"/>
      <c r="AB94" s="195"/>
      <c r="AC94" s="196"/>
      <c r="AD94" s="196"/>
      <c r="AE94" s="196"/>
      <c r="AF94" s="196"/>
      <c r="AG94" s="196"/>
      <c r="AH94" s="196"/>
      <c r="AI94" s="196"/>
      <c r="AJ94" s="195"/>
      <c r="AK94" s="195"/>
      <c r="AL94" s="195"/>
      <c r="AM94" s="195"/>
      <c r="AN94" s="195"/>
      <c r="AO94" s="195"/>
      <c r="AP94" s="195"/>
      <c r="AQ94" s="195"/>
      <c r="AR94" s="195"/>
      <c r="AS94" s="195"/>
      <c r="AT94" s="195"/>
      <c r="AU94" s="195"/>
      <c r="AV94" s="195"/>
      <c r="AW94" s="195"/>
      <c r="AX94" s="226">
        <v>20</v>
      </c>
      <c r="AY94" s="226" t="s">
        <v>851</v>
      </c>
      <c r="AZ94" s="231" t="s">
        <v>832</v>
      </c>
      <c r="BA94" s="245" t="s">
        <v>998</v>
      </c>
    </row>
    <row r="95" spans="1:53" s="187" customFormat="1">
      <c r="A95" s="188" t="s">
        <v>827</v>
      </c>
      <c r="B95" s="219">
        <v>3529</v>
      </c>
      <c r="C95" s="219">
        <v>3529</v>
      </c>
      <c r="D95" s="190" t="s">
        <v>999</v>
      </c>
      <c r="E95" s="191" t="s">
        <v>15</v>
      </c>
      <c r="F95" s="191" t="s">
        <v>59</v>
      </c>
      <c r="G95" s="191"/>
      <c r="H95" s="193">
        <f t="shared" si="14"/>
        <v>26.6815</v>
      </c>
      <c r="I95" s="194">
        <v>7.3099999999999998E-2</v>
      </c>
      <c r="J95" s="194">
        <f t="shared" si="10"/>
        <v>2.1930000000000001</v>
      </c>
      <c r="K95" s="194">
        <f t="shared" si="15"/>
        <v>26.6815</v>
      </c>
      <c r="L95" s="194">
        <v>7.3099999999999998E-2</v>
      </c>
      <c r="M95" s="194">
        <f t="shared" si="11"/>
        <v>2.1930000000000001</v>
      </c>
      <c r="N95" s="194">
        <f t="shared" si="13"/>
        <v>0</v>
      </c>
      <c r="O95" s="195"/>
      <c r="P95" s="195"/>
      <c r="Q95" s="195"/>
      <c r="R95" s="195"/>
      <c r="S95" s="195"/>
      <c r="T95" s="195"/>
      <c r="U95" s="195"/>
      <c r="V95" s="195"/>
      <c r="W95" s="195"/>
      <c r="X95" s="195"/>
      <c r="Y95" s="195"/>
      <c r="Z95" s="195"/>
      <c r="AA95" s="195"/>
      <c r="AB95" s="195"/>
      <c r="AC95" s="196"/>
      <c r="AD95" s="196"/>
      <c r="AE95" s="196"/>
      <c r="AF95" s="196"/>
      <c r="AG95" s="196"/>
      <c r="AH95" s="196"/>
      <c r="AI95" s="196"/>
      <c r="AJ95" s="195"/>
      <c r="AK95" s="195"/>
      <c r="AL95" s="195"/>
      <c r="AM95" s="195"/>
      <c r="AN95" s="195"/>
      <c r="AO95" s="195"/>
      <c r="AP95" s="195"/>
      <c r="AQ95" s="195"/>
      <c r="AR95" s="195"/>
      <c r="AS95" s="195"/>
      <c r="AT95" s="195"/>
      <c r="AU95" s="195"/>
      <c r="AV95" s="195"/>
      <c r="AW95" s="195"/>
      <c r="AX95" s="191">
        <v>20</v>
      </c>
      <c r="AY95" s="215">
        <v>20</v>
      </c>
      <c r="AZ95" s="207" t="s">
        <v>1000</v>
      </c>
      <c r="BA95" s="190" t="s">
        <v>833</v>
      </c>
    </row>
    <row r="96" spans="1:53" s="187" customFormat="1">
      <c r="A96" s="188" t="s">
        <v>827</v>
      </c>
      <c r="B96" s="236">
        <v>3542</v>
      </c>
      <c r="C96" s="236">
        <v>3542</v>
      </c>
      <c r="D96" s="188" t="s">
        <v>1001</v>
      </c>
      <c r="E96" s="191" t="s">
        <v>15</v>
      </c>
      <c r="F96" s="192" t="s">
        <v>58</v>
      </c>
      <c r="G96" s="191"/>
      <c r="H96" s="193">
        <f t="shared" si="14"/>
        <v>8.1029999999999998</v>
      </c>
      <c r="I96" s="199">
        <v>2.2200000000000001E-2</v>
      </c>
      <c r="J96" s="194">
        <f t="shared" si="10"/>
        <v>0.66600000000000004</v>
      </c>
      <c r="K96" s="194">
        <f t="shared" si="15"/>
        <v>8.1029999999999998</v>
      </c>
      <c r="L96" s="199">
        <v>2.2200000000000001E-2</v>
      </c>
      <c r="M96" s="194">
        <f t="shared" si="11"/>
        <v>0.66600000000000004</v>
      </c>
      <c r="N96" s="194">
        <f t="shared" si="13"/>
        <v>0</v>
      </c>
      <c r="O96" s="195"/>
      <c r="P96" s="195"/>
      <c r="Q96" s="195"/>
      <c r="R96" s="195"/>
      <c r="S96" s="195"/>
      <c r="T96" s="195"/>
      <c r="U96" s="195"/>
      <c r="V96" s="195"/>
      <c r="W96" s="195"/>
      <c r="X96" s="195"/>
      <c r="Y96" s="195"/>
      <c r="Z96" s="195"/>
      <c r="AA96" s="195"/>
      <c r="AB96" s="195"/>
      <c r="AC96" s="196"/>
      <c r="AD96" s="196"/>
      <c r="AE96" s="196"/>
      <c r="AF96" s="196"/>
      <c r="AG96" s="196"/>
      <c r="AH96" s="196"/>
      <c r="AI96" s="196"/>
      <c r="AJ96" s="195"/>
      <c r="AK96" s="195"/>
      <c r="AL96" s="195"/>
      <c r="AM96" s="195"/>
      <c r="AN96" s="195"/>
      <c r="AO96" s="195"/>
      <c r="AP96" s="195"/>
      <c r="AQ96" s="195"/>
      <c r="AR96" s="195"/>
      <c r="AS96" s="195"/>
      <c r="AT96" s="195"/>
      <c r="AU96" s="195"/>
      <c r="AV96" s="195"/>
      <c r="AW96" s="195"/>
      <c r="AX96" s="226">
        <v>10</v>
      </c>
      <c r="AY96" s="226" t="s">
        <v>851</v>
      </c>
      <c r="AZ96" s="231" t="s">
        <v>832</v>
      </c>
      <c r="BA96" s="208" t="s">
        <v>1002</v>
      </c>
    </row>
    <row r="97" spans="1:53" s="187" customFormat="1">
      <c r="A97" s="188" t="s">
        <v>827</v>
      </c>
      <c r="B97" s="192">
        <v>3641</v>
      </c>
      <c r="C97" s="192">
        <v>3641</v>
      </c>
      <c r="D97" s="190" t="s">
        <v>1003</v>
      </c>
      <c r="E97" s="191" t="s">
        <v>15</v>
      </c>
      <c r="F97" s="191" t="s">
        <v>60</v>
      </c>
      <c r="G97" s="191" t="s">
        <v>782</v>
      </c>
      <c r="H97" s="193">
        <f t="shared" si="14"/>
        <v>292</v>
      </c>
      <c r="I97" s="199">
        <v>0.8</v>
      </c>
      <c r="J97" s="194">
        <f t="shared" si="10"/>
        <v>24</v>
      </c>
      <c r="K97" s="194">
        <f t="shared" si="15"/>
        <v>219.32849999999999</v>
      </c>
      <c r="L97" s="199">
        <v>0.60089999999999999</v>
      </c>
      <c r="M97" s="194">
        <f t="shared" si="11"/>
        <v>18.027000000000001</v>
      </c>
      <c r="N97" s="194">
        <f t="shared" si="13"/>
        <v>-0.19910000000000005</v>
      </c>
      <c r="O97" s="195"/>
      <c r="P97" s="195"/>
      <c r="Q97" s="195"/>
      <c r="R97" s="195"/>
      <c r="S97" s="195"/>
      <c r="T97" s="195"/>
      <c r="U97" s="195"/>
      <c r="V97" s="195"/>
      <c r="W97" s="195"/>
      <c r="X97" s="195"/>
      <c r="Y97" s="195"/>
      <c r="Z97" s="195"/>
      <c r="AA97" s="195"/>
      <c r="AB97" s="195"/>
      <c r="AC97" s="196"/>
      <c r="AD97" s="196"/>
      <c r="AE97" s="196"/>
      <c r="AF97" s="196"/>
      <c r="AG97" s="196"/>
      <c r="AH97" s="196"/>
      <c r="AI97" s="196"/>
      <c r="AJ97" s="195"/>
      <c r="AK97" s="195"/>
      <c r="AL97" s="195"/>
      <c r="AM97" s="195"/>
      <c r="AN97" s="195"/>
      <c r="AO97" s="195"/>
      <c r="AP97" s="195"/>
      <c r="AQ97" s="195"/>
      <c r="AR97" s="195"/>
      <c r="AS97" s="195"/>
      <c r="AT97" s="195"/>
      <c r="AU97" s="195"/>
      <c r="AV97" s="195"/>
      <c r="AW97" s="195"/>
      <c r="AX97" s="192">
        <v>20</v>
      </c>
      <c r="AY97" s="202" t="s">
        <v>851</v>
      </c>
      <c r="AZ97" s="190" t="s">
        <v>983</v>
      </c>
      <c r="BA97" s="190" t="s">
        <v>830</v>
      </c>
    </row>
    <row r="98" spans="1:53" s="187" customFormat="1">
      <c r="A98" s="188" t="s">
        <v>827</v>
      </c>
      <c r="B98" s="236">
        <v>3649</v>
      </c>
      <c r="C98" s="236">
        <v>3649</v>
      </c>
      <c r="D98" s="231" t="s">
        <v>1004</v>
      </c>
      <c r="E98" s="219" t="s">
        <v>15</v>
      </c>
      <c r="F98" s="191" t="s">
        <v>59</v>
      </c>
      <c r="G98" s="219"/>
      <c r="H98" s="246">
        <v>17.118499999999997</v>
      </c>
      <c r="I98" s="199">
        <v>4.6899999999999997E-2</v>
      </c>
      <c r="J98" s="247">
        <v>1.407</v>
      </c>
      <c r="K98" s="247">
        <v>17.118499999999997</v>
      </c>
      <c r="L98" s="199">
        <v>4.6899999999999997E-2</v>
      </c>
      <c r="M98" s="247">
        <v>1.407</v>
      </c>
      <c r="N98" s="247">
        <v>0</v>
      </c>
      <c r="O98" s="195"/>
      <c r="P98" s="195"/>
      <c r="Q98" s="195"/>
      <c r="R98" s="195"/>
      <c r="S98" s="195"/>
      <c r="T98" s="195"/>
      <c r="U98" s="195"/>
      <c r="V98" s="195"/>
      <c r="W98" s="195"/>
      <c r="X98" s="195"/>
      <c r="Y98" s="195"/>
      <c r="Z98" s="195"/>
      <c r="AA98" s="195"/>
      <c r="AB98" s="195"/>
      <c r="AC98" s="196"/>
      <c r="AD98" s="196"/>
      <c r="AE98" s="196"/>
      <c r="AF98" s="196"/>
      <c r="AG98" s="196"/>
      <c r="AH98" s="196"/>
      <c r="AI98" s="196"/>
      <c r="AJ98" s="195"/>
      <c r="AK98" s="195"/>
      <c r="AL98" s="195"/>
      <c r="AM98" s="195"/>
      <c r="AN98" s="195"/>
      <c r="AO98" s="195"/>
      <c r="AP98" s="195"/>
      <c r="AQ98" s="195"/>
      <c r="AR98" s="195"/>
      <c r="AS98" s="195"/>
      <c r="AT98" s="195"/>
      <c r="AU98" s="195"/>
      <c r="AV98" s="195"/>
      <c r="AW98" s="195"/>
      <c r="AX98" s="226">
        <v>10</v>
      </c>
      <c r="AY98" s="226">
        <v>10</v>
      </c>
      <c r="AZ98" s="231" t="s">
        <v>765</v>
      </c>
      <c r="BA98" s="208" t="s">
        <v>868</v>
      </c>
    </row>
    <row r="99" spans="1:53" s="187" customFormat="1">
      <c r="A99" s="188" t="s">
        <v>827</v>
      </c>
      <c r="B99" s="236">
        <v>3689</v>
      </c>
      <c r="C99" s="236">
        <v>3689</v>
      </c>
      <c r="D99" s="231" t="s">
        <v>1005</v>
      </c>
      <c r="E99" s="191" t="s">
        <v>15</v>
      </c>
      <c r="F99" s="191" t="s">
        <v>59</v>
      </c>
      <c r="G99" s="224"/>
      <c r="H99" s="193">
        <f t="shared" ref="H99:H162" si="16">I99*365</f>
        <v>3.5405000000000002</v>
      </c>
      <c r="I99" s="199">
        <v>9.7000000000000003E-3</v>
      </c>
      <c r="J99" s="194">
        <f t="shared" ref="J99:J162" si="17">I99*30</f>
        <v>0.29100000000000004</v>
      </c>
      <c r="K99" s="194">
        <f t="shared" ref="K99:K162" si="18">L99*365</f>
        <v>3.5405000000000002</v>
      </c>
      <c r="L99" s="199">
        <v>9.7000000000000003E-3</v>
      </c>
      <c r="M99" s="194">
        <f t="shared" ref="M99:M162" si="19">L99*30</f>
        <v>0.29100000000000004</v>
      </c>
      <c r="N99" s="194">
        <f>L99-I99</f>
        <v>0</v>
      </c>
      <c r="O99" s="195"/>
      <c r="P99" s="195"/>
      <c r="Q99" s="195"/>
      <c r="R99" s="195"/>
      <c r="S99" s="195"/>
      <c r="T99" s="195"/>
      <c r="U99" s="195"/>
      <c r="V99" s="195"/>
      <c r="W99" s="195"/>
      <c r="X99" s="195"/>
      <c r="Y99" s="195"/>
      <c r="Z99" s="195"/>
      <c r="AA99" s="195"/>
      <c r="AB99" s="195"/>
      <c r="AC99" s="196"/>
      <c r="AD99" s="196"/>
      <c r="AE99" s="196"/>
      <c r="AF99" s="196"/>
      <c r="AG99" s="196"/>
      <c r="AH99" s="196"/>
      <c r="AI99" s="196"/>
      <c r="AJ99" s="195"/>
      <c r="AK99" s="195"/>
      <c r="AL99" s="195"/>
      <c r="AM99" s="195"/>
      <c r="AN99" s="195"/>
      <c r="AO99" s="195"/>
      <c r="AP99" s="195"/>
      <c r="AQ99" s="195"/>
      <c r="AR99" s="195"/>
      <c r="AS99" s="195"/>
      <c r="AT99" s="195"/>
      <c r="AU99" s="195"/>
      <c r="AV99" s="195"/>
      <c r="AW99" s="195"/>
      <c r="AX99" s="226">
        <v>20</v>
      </c>
      <c r="AY99" s="241">
        <v>20</v>
      </c>
      <c r="AZ99" s="231" t="s">
        <v>765</v>
      </c>
      <c r="BA99" s="208" t="s">
        <v>1006</v>
      </c>
    </row>
    <row r="100" spans="1:53" s="187" customFormat="1">
      <c r="A100" s="188" t="s">
        <v>827</v>
      </c>
      <c r="B100" s="243">
        <v>3721</v>
      </c>
      <c r="C100" s="243">
        <v>3721</v>
      </c>
      <c r="D100" s="248" t="s">
        <v>1007</v>
      </c>
      <c r="E100" s="191" t="s">
        <v>15</v>
      </c>
      <c r="F100" s="191" t="s">
        <v>59</v>
      </c>
      <c r="G100" s="212"/>
      <c r="H100" s="193">
        <f t="shared" si="16"/>
        <v>4.7815000000000003</v>
      </c>
      <c r="I100" s="199">
        <v>1.3100000000000001E-2</v>
      </c>
      <c r="J100" s="194">
        <f t="shared" si="17"/>
        <v>0.39300000000000002</v>
      </c>
      <c r="K100" s="194">
        <f t="shared" si="18"/>
        <v>4.7815000000000003</v>
      </c>
      <c r="L100" s="199">
        <v>1.3100000000000001E-2</v>
      </c>
      <c r="M100" s="194">
        <f t="shared" si="19"/>
        <v>0.39300000000000002</v>
      </c>
      <c r="N100" s="194">
        <f>L100-I100</f>
        <v>0</v>
      </c>
      <c r="O100" s="195"/>
      <c r="P100" s="195"/>
      <c r="Q100" s="195"/>
      <c r="R100" s="195"/>
      <c r="S100" s="195"/>
      <c r="T100" s="195"/>
      <c r="U100" s="195"/>
      <c r="V100" s="195"/>
      <c r="W100" s="195"/>
      <c r="X100" s="195"/>
      <c r="Y100" s="195"/>
      <c r="Z100" s="195"/>
      <c r="AA100" s="195"/>
      <c r="AB100" s="195"/>
      <c r="AC100" s="196"/>
      <c r="AD100" s="196"/>
      <c r="AE100" s="196"/>
      <c r="AF100" s="196"/>
      <c r="AG100" s="196"/>
      <c r="AH100" s="196"/>
      <c r="AI100" s="196"/>
      <c r="AJ100" s="195"/>
      <c r="AK100" s="195"/>
      <c r="AL100" s="195"/>
      <c r="AM100" s="195"/>
      <c r="AN100" s="195"/>
      <c r="AO100" s="195"/>
      <c r="AP100" s="195"/>
      <c r="AQ100" s="195"/>
      <c r="AR100" s="195"/>
      <c r="AS100" s="195"/>
      <c r="AT100" s="195"/>
      <c r="AU100" s="195"/>
      <c r="AV100" s="195"/>
      <c r="AW100" s="195"/>
      <c r="AX100" s="226">
        <v>20</v>
      </c>
      <c r="AY100" s="226">
        <v>20</v>
      </c>
      <c r="AZ100" s="231" t="s">
        <v>765</v>
      </c>
      <c r="BA100" s="208" t="s">
        <v>1008</v>
      </c>
    </row>
    <row r="101" spans="1:53" s="187" customFormat="1">
      <c r="A101" s="188" t="s">
        <v>827</v>
      </c>
      <c r="B101" s="236">
        <v>3777</v>
      </c>
      <c r="C101" s="236">
        <v>3777</v>
      </c>
      <c r="D101" s="188" t="s">
        <v>1009</v>
      </c>
      <c r="E101" s="191" t="s">
        <v>15</v>
      </c>
      <c r="F101" s="191" t="s">
        <v>59</v>
      </c>
      <c r="G101" s="191"/>
      <c r="H101" s="194">
        <f t="shared" si="16"/>
        <v>5.6210000000000004</v>
      </c>
      <c r="I101" s="230">
        <v>1.54E-2</v>
      </c>
      <c r="J101" s="194">
        <f t="shared" si="17"/>
        <v>0.46200000000000002</v>
      </c>
      <c r="K101" s="194">
        <f t="shared" si="18"/>
        <v>5.6210000000000004</v>
      </c>
      <c r="L101" s="230">
        <v>1.54E-2</v>
      </c>
      <c r="M101" s="194">
        <f t="shared" si="19"/>
        <v>0.46200000000000002</v>
      </c>
      <c r="N101" s="194">
        <v>0</v>
      </c>
      <c r="O101" s="195"/>
      <c r="P101" s="195"/>
      <c r="Q101" s="195"/>
      <c r="R101" s="195"/>
      <c r="S101" s="195"/>
      <c r="T101" s="195"/>
      <c r="U101" s="195"/>
      <c r="V101" s="195"/>
      <c r="W101" s="195"/>
      <c r="X101" s="195"/>
      <c r="Y101" s="195"/>
      <c r="Z101" s="195"/>
      <c r="AA101" s="195"/>
      <c r="AB101" s="195"/>
      <c r="AC101" s="196"/>
      <c r="AD101" s="196"/>
      <c r="AE101" s="196"/>
      <c r="AF101" s="196"/>
      <c r="AG101" s="196"/>
      <c r="AH101" s="196"/>
      <c r="AI101" s="196"/>
      <c r="AJ101" s="195"/>
      <c r="AK101" s="195"/>
      <c r="AL101" s="195"/>
      <c r="AM101" s="195"/>
      <c r="AN101" s="195"/>
      <c r="AO101" s="195"/>
      <c r="AP101" s="195"/>
      <c r="AQ101" s="195"/>
      <c r="AR101" s="195"/>
      <c r="AS101" s="195"/>
      <c r="AT101" s="195"/>
      <c r="AU101" s="195"/>
      <c r="AV101" s="195"/>
      <c r="AW101" s="195"/>
      <c r="AX101" s="226">
        <v>20</v>
      </c>
      <c r="AY101" s="226">
        <v>20</v>
      </c>
      <c r="AZ101" s="231" t="s">
        <v>832</v>
      </c>
      <c r="BA101" s="208" t="s">
        <v>855</v>
      </c>
    </row>
    <row r="102" spans="1:53" s="187" customFormat="1">
      <c r="A102" s="188" t="s">
        <v>827</v>
      </c>
      <c r="B102" s="236">
        <v>3805</v>
      </c>
      <c r="C102" s="236">
        <v>3805</v>
      </c>
      <c r="D102" s="188" t="s">
        <v>1010</v>
      </c>
      <c r="E102" s="191" t="s">
        <v>15</v>
      </c>
      <c r="F102" s="191" t="s">
        <v>59</v>
      </c>
      <c r="G102" s="192"/>
      <c r="H102" s="193">
        <f t="shared" si="16"/>
        <v>26.061000000000003</v>
      </c>
      <c r="I102" s="230">
        <v>7.1400000000000005E-2</v>
      </c>
      <c r="J102" s="194">
        <f t="shared" si="17"/>
        <v>2.1420000000000003</v>
      </c>
      <c r="K102" s="194">
        <f t="shared" si="18"/>
        <v>26.061000000000003</v>
      </c>
      <c r="L102" s="230">
        <v>7.1400000000000005E-2</v>
      </c>
      <c r="M102" s="194">
        <f t="shared" si="19"/>
        <v>2.1420000000000003</v>
      </c>
      <c r="N102" s="194">
        <f t="shared" ref="N102:N165" si="20">L102-I102</f>
        <v>0</v>
      </c>
      <c r="O102" s="195"/>
      <c r="P102" s="195"/>
      <c r="Q102" s="195"/>
      <c r="R102" s="195"/>
      <c r="S102" s="195"/>
      <c r="T102" s="195"/>
      <c r="U102" s="195"/>
      <c r="V102" s="195"/>
      <c r="W102" s="195"/>
      <c r="X102" s="195"/>
      <c r="Y102" s="195"/>
      <c r="Z102" s="195"/>
      <c r="AA102" s="195"/>
      <c r="AB102" s="195"/>
      <c r="AC102" s="196"/>
      <c r="AD102" s="196"/>
      <c r="AE102" s="196"/>
      <c r="AF102" s="196"/>
      <c r="AG102" s="196"/>
      <c r="AH102" s="196"/>
      <c r="AI102" s="196"/>
      <c r="AJ102" s="195"/>
      <c r="AK102" s="195"/>
      <c r="AL102" s="195"/>
      <c r="AM102" s="195"/>
      <c r="AN102" s="195"/>
      <c r="AO102" s="195"/>
      <c r="AP102" s="195"/>
      <c r="AQ102" s="195"/>
      <c r="AR102" s="195"/>
      <c r="AS102" s="195"/>
      <c r="AT102" s="195"/>
      <c r="AU102" s="195"/>
      <c r="AV102" s="195"/>
      <c r="AW102" s="195"/>
      <c r="AX102" s="226">
        <v>20</v>
      </c>
      <c r="AY102" s="226" t="s">
        <v>851</v>
      </c>
      <c r="AZ102" s="231" t="s">
        <v>832</v>
      </c>
      <c r="BA102" s="208" t="s">
        <v>1011</v>
      </c>
    </row>
    <row r="103" spans="1:53" s="187" customFormat="1">
      <c r="A103" s="188" t="s">
        <v>827</v>
      </c>
      <c r="B103" s="219">
        <v>3806</v>
      </c>
      <c r="C103" s="219">
        <v>3806</v>
      </c>
      <c r="D103" s="190" t="s">
        <v>1012</v>
      </c>
      <c r="E103" s="191" t="s">
        <v>15</v>
      </c>
      <c r="F103" s="191" t="s">
        <v>59</v>
      </c>
      <c r="G103" s="191"/>
      <c r="H103" s="193">
        <f t="shared" si="16"/>
        <v>37.083999999999996</v>
      </c>
      <c r="I103" s="194">
        <v>0.1016</v>
      </c>
      <c r="J103" s="194">
        <f t="shared" si="17"/>
        <v>3.048</v>
      </c>
      <c r="K103" s="194">
        <f t="shared" si="18"/>
        <v>37.083999999999996</v>
      </c>
      <c r="L103" s="194">
        <v>0.1016</v>
      </c>
      <c r="M103" s="194">
        <f t="shared" si="19"/>
        <v>3.048</v>
      </c>
      <c r="N103" s="194">
        <f t="shared" si="20"/>
        <v>0</v>
      </c>
      <c r="O103" s="195"/>
      <c r="P103" s="195"/>
      <c r="Q103" s="195"/>
      <c r="R103" s="195"/>
      <c r="S103" s="195"/>
      <c r="T103" s="195"/>
      <c r="U103" s="195"/>
      <c r="V103" s="195"/>
      <c r="W103" s="195"/>
      <c r="X103" s="195"/>
      <c r="Y103" s="195"/>
      <c r="Z103" s="195"/>
      <c r="AA103" s="195"/>
      <c r="AB103" s="195"/>
      <c r="AC103" s="196"/>
      <c r="AD103" s="196"/>
      <c r="AE103" s="196"/>
      <c r="AF103" s="196"/>
      <c r="AG103" s="196"/>
      <c r="AH103" s="196"/>
      <c r="AI103" s="196"/>
      <c r="AJ103" s="195"/>
      <c r="AK103" s="195"/>
      <c r="AL103" s="195"/>
      <c r="AM103" s="195"/>
      <c r="AN103" s="195"/>
      <c r="AO103" s="195"/>
      <c r="AP103" s="195"/>
      <c r="AQ103" s="195"/>
      <c r="AR103" s="195"/>
      <c r="AS103" s="195"/>
      <c r="AT103" s="195"/>
      <c r="AU103" s="195"/>
      <c r="AV103" s="195"/>
      <c r="AW103" s="195"/>
      <c r="AX103" s="191">
        <v>20</v>
      </c>
      <c r="AY103" s="215" t="s">
        <v>851</v>
      </c>
      <c r="AZ103" s="207" t="s">
        <v>835</v>
      </c>
      <c r="BA103" s="201" t="s">
        <v>1013</v>
      </c>
    </row>
    <row r="104" spans="1:53" s="187" customFormat="1">
      <c r="A104" s="188" t="s">
        <v>827</v>
      </c>
      <c r="B104" s="219">
        <v>3814</v>
      </c>
      <c r="C104" s="219">
        <v>3814</v>
      </c>
      <c r="D104" s="190" t="s">
        <v>1014</v>
      </c>
      <c r="E104" s="191" t="s">
        <v>15</v>
      </c>
      <c r="F104" s="191" t="s">
        <v>59</v>
      </c>
      <c r="G104" s="191"/>
      <c r="H104" s="193">
        <f t="shared" si="16"/>
        <v>3.5405000000000002</v>
      </c>
      <c r="I104" s="194">
        <v>9.7000000000000003E-3</v>
      </c>
      <c r="J104" s="194">
        <f t="shared" si="17"/>
        <v>0.29100000000000004</v>
      </c>
      <c r="K104" s="194">
        <f t="shared" si="18"/>
        <v>3.5405000000000002</v>
      </c>
      <c r="L104" s="194">
        <v>9.7000000000000003E-3</v>
      </c>
      <c r="M104" s="194">
        <f t="shared" si="19"/>
        <v>0.29100000000000004</v>
      </c>
      <c r="N104" s="194">
        <f t="shared" si="20"/>
        <v>0</v>
      </c>
      <c r="O104" s="195"/>
      <c r="P104" s="195"/>
      <c r="Q104" s="195"/>
      <c r="R104" s="195"/>
      <c r="S104" s="195"/>
      <c r="T104" s="195"/>
      <c r="U104" s="195"/>
      <c r="V104" s="195"/>
      <c r="W104" s="195"/>
      <c r="X104" s="195"/>
      <c r="Y104" s="195"/>
      <c r="Z104" s="195"/>
      <c r="AA104" s="195"/>
      <c r="AB104" s="195"/>
      <c r="AC104" s="196"/>
      <c r="AD104" s="196"/>
      <c r="AE104" s="196"/>
      <c r="AF104" s="196"/>
      <c r="AG104" s="196"/>
      <c r="AH104" s="196"/>
      <c r="AI104" s="196"/>
      <c r="AJ104" s="195"/>
      <c r="AK104" s="195"/>
      <c r="AL104" s="195"/>
      <c r="AM104" s="195"/>
      <c r="AN104" s="195"/>
      <c r="AO104" s="195"/>
      <c r="AP104" s="195"/>
      <c r="AQ104" s="195"/>
      <c r="AR104" s="195"/>
      <c r="AS104" s="195"/>
      <c r="AT104" s="195"/>
      <c r="AU104" s="195"/>
      <c r="AV104" s="195"/>
      <c r="AW104" s="195"/>
      <c r="AX104" s="191">
        <v>20</v>
      </c>
      <c r="AY104" s="215" t="s">
        <v>851</v>
      </c>
      <c r="AZ104" s="207" t="s">
        <v>765</v>
      </c>
      <c r="BA104" s="201" t="s">
        <v>830</v>
      </c>
    </row>
    <row r="105" spans="1:53" s="187" customFormat="1" ht="18" customHeight="1">
      <c r="A105" s="188" t="s">
        <v>827</v>
      </c>
      <c r="B105" s="240">
        <v>3821</v>
      </c>
      <c r="C105" s="240">
        <v>3821</v>
      </c>
      <c r="D105" s="214" t="s">
        <v>1015</v>
      </c>
      <c r="E105" s="191" t="s">
        <v>15</v>
      </c>
      <c r="F105" s="191" t="s">
        <v>59</v>
      </c>
      <c r="G105" s="191"/>
      <c r="H105" s="193">
        <f t="shared" si="16"/>
        <v>81.176000000000002</v>
      </c>
      <c r="I105" s="194">
        <v>0.22239999999999999</v>
      </c>
      <c r="J105" s="194">
        <f t="shared" si="17"/>
        <v>6.6719999999999997</v>
      </c>
      <c r="K105" s="194">
        <f t="shared" si="18"/>
        <v>85.045000000000002</v>
      </c>
      <c r="L105" s="194">
        <v>0.23300000000000001</v>
      </c>
      <c r="M105" s="194">
        <f t="shared" si="19"/>
        <v>6.99</v>
      </c>
      <c r="N105" s="194">
        <f t="shared" si="20"/>
        <v>1.0600000000000026E-2</v>
      </c>
      <c r="O105" s="195"/>
      <c r="P105" s="195"/>
      <c r="Q105" s="195"/>
      <c r="R105" s="195"/>
      <c r="S105" s="195"/>
      <c r="T105" s="195"/>
      <c r="U105" s="195"/>
      <c r="V105" s="195"/>
      <c r="W105" s="195"/>
      <c r="X105" s="195"/>
      <c r="Y105" s="195"/>
      <c r="Z105" s="195"/>
      <c r="AA105" s="195"/>
      <c r="AB105" s="195"/>
      <c r="AC105" s="196"/>
      <c r="AD105" s="196"/>
      <c r="AE105" s="196"/>
      <c r="AF105" s="196"/>
      <c r="AG105" s="196"/>
      <c r="AH105" s="196"/>
      <c r="AI105" s="196"/>
      <c r="AJ105" s="195"/>
      <c r="AK105" s="195"/>
      <c r="AL105" s="195"/>
      <c r="AM105" s="195"/>
      <c r="AN105" s="195"/>
      <c r="AO105" s="195"/>
      <c r="AP105" s="195"/>
      <c r="AQ105" s="195"/>
      <c r="AR105" s="195"/>
      <c r="AS105" s="195"/>
      <c r="AT105" s="195"/>
      <c r="AU105" s="195"/>
      <c r="AV105" s="195"/>
      <c r="AW105" s="195"/>
      <c r="AX105" s="241" t="s">
        <v>515</v>
      </c>
      <c r="AY105" s="249" t="s">
        <v>515</v>
      </c>
      <c r="AZ105" s="216" t="s">
        <v>1016</v>
      </c>
      <c r="BA105" s="235" t="s">
        <v>868</v>
      </c>
    </row>
    <row r="106" spans="1:53" s="187" customFormat="1">
      <c r="A106" s="188" t="s">
        <v>827</v>
      </c>
      <c r="B106" s="240">
        <v>3899</v>
      </c>
      <c r="C106" s="240">
        <v>3899</v>
      </c>
      <c r="D106" s="214" t="s">
        <v>1017</v>
      </c>
      <c r="E106" s="191" t="s">
        <v>15</v>
      </c>
      <c r="F106" s="191" t="s">
        <v>59</v>
      </c>
      <c r="G106" s="191"/>
      <c r="H106" s="193">
        <f t="shared" si="16"/>
        <v>19.454499999999999</v>
      </c>
      <c r="I106" s="194">
        <v>5.33E-2</v>
      </c>
      <c r="J106" s="194">
        <f t="shared" si="17"/>
        <v>1.599</v>
      </c>
      <c r="K106" s="194">
        <f t="shared" si="18"/>
        <v>19.454499999999999</v>
      </c>
      <c r="L106" s="194">
        <v>5.33E-2</v>
      </c>
      <c r="M106" s="194">
        <f t="shared" si="19"/>
        <v>1.599</v>
      </c>
      <c r="N106" s="194">
        <f t="shared" si="20"/>
        <v>0</v>
      </c>
      <c r="O106" s="195"/>
      <c r="P106" s="195"/>
      <c r="Q106" s="195"/>
      <c r="R106" s="195"/>
      <c r="S106" s="195"/>
      <c r="T106" s="195"/>
      <c r="U106" s="195"/>
      <c r="V106" s="195"/>
      <c r="W106" s="195"/>
      <c r="X106" s="195"/>
      <c r="Y106" s="195"/>
      <c r="Z106" s="195"/>
      <c r="AA106" s="195"/>
      <c r="AB106" s="195"/>
      <c r="AC106" s="196"/>
      <c r="AD106" s="196"/>
      <c r="AE106" s="196"/>
      <c r="AF106" s="196"/>
      <c r="AG106" s="196"/>
      <c r="AH106" s="196"/>
      <c r="AI106" s="196"/>
      <c r="AJ106" s="195"/>
      <c r="AK106" s="195"/>
      <c r="AL106" s="195"/>
      <c r="AM106" s="195"/>
      <c r="AN106" s="195"/>
      <c r="AO106" s="195"/>
      <c r="AP106" s="195"/>
      <c r="AQ106" s="195"/>
      <c r="AR106" s="195"/>
      <c r="AS106" s="195"/>
      <c r="AT106" s="195"/>
      <c r="AU106" s="195"/>
      <c r="AV106" s="195"/>
      <c r="AW106" s="195"/>
      <c r="AX106" s="241">
        <v>20</v>
      </c>
      <c r="AY106" s="249" t="s">
        <v>851</v>
      </c>
      <c r="AZ106" s="216" t="s">
        <v>765</v>
      </c>
      <c r="BA106" s="235" t="s">
        <v>833</v>
      </c>
    </row>
    <row r="107" spans="1:53" s="187" customFormat="1">
      <c r="A107" s="188" t="s">
        <v>827</v>
      </c>
      <c r="B107" s="240">
        <v>3920</v>
      </c>
      <c r="C107" s="240">
        <v>3920</v>
      </c>
      <c r="D107" s="223" t="s">
        <v>1018</v>
      </c>
      <c r="E107" s="191" t="s">
        <v>15</v>
      </c>
      <c r="F107" s="191" t="s">
        <v>59</v>
      </c>
      <c r="G107" s="224"/>
      <c r="H107" s="193">
        <f t="shared" si="16"/>
        <v>4.4165000000000001</v>
      </c>
      <c r="I107" s="194">
        <v>1.21E-2</v>
      </c>
      <c r="J107" s="194">
        <f t="shared" si="17"/>
        <v>0.36299999999999999</v>
      </c>
      <c r="K107" s="194">
        <f t="shared" si="18"/>
        <v>4.1974999999999998</v>
      </c>
      <c r="L107" s="194">
        <v>1.15E-2</v>
      </c>
      <c r="M107" s="194">
        <f t="shared" si="19"/>
        <v>0.34499999999999997</v>
      </c>
      <c r="N107" s="194">
        <f t="shared" si="20"/>
        <v>-5.9999999999999984E-4</v>
      </c>
      <c r="O107" s="195"/>
      <c r="P107" s="195"/>
      <c r="Q107" s="195"/>
      <c r="R107" s="195"/>
      <c r="S107" s="195"/>
      <c r="T107" s="195"/>
      <c r="U107" s="195"/>
      <c r="V107" s="195"/>
      <c r="W107" s="195"/>
      <c r="X107" s="195"/>
      <c r="Y107" s="195"/>
      <c r="Z107" s="195"/>
      <c r="AA107" s="195"/>
      <c r="AB107" s="195"/>
      <c r="AC107" s="196"/>
      <c r="AD107" s="196"/>
      <c r="AE107" s="196"/>
      <c r="AF107" s="196"/>
      <c r="AG107" s="196"/>
      <c r="AH107" s="196"/>
      <c r="AI107" s="196"/>
      <c r="AJ107" s="195"/>
      <c r="AK107" s="195"/>
      <c r="AL107" s="195"/>
      <c r="AM107" s="195"/>
      <c r="AN107" s="195"/>
      <c r="AO107" s="195"/>
      <c r="AP107" s="195"/>
      <c r="AQ107" s="195"/>
      <c r="AR107" s="195"/>
      <c r="AS107" s="195"/>
      <c r="AT107" s="195"/>
      <c r="AU107" s="195"/>
      <c r="AV107" s="195"/>
      <c r="AW107" s="195"/>
      <c r="AX107" s="224">
        <v>10</v>
      </c>
      <c r="AY107" s="225" t="s">
        <v>515</v>
      </c>
      <c r="AZ107" s="216" t="s">
        <v>1019</v>
      </c>
      <c r="BA107" s="235" t="s">
        <v>833</v>
      </c>
    </row>
    <row r="108" spans="1:53" s="187" customFormat="1" ht="16.149999999999999" customHeight="1">
      <c r="A108" s="188" t="s">
        <v>827</v>
      </c>
      <c r="B108" s="240">
        <v>3967</v>
      </c>
      <c r="C108" s="240">
        <v>3967</v>
      </c>
      <c r="D108" s="214" t="s">
        <v>1020</v>
      </c>
      <c r="E108" s="191" t="s">
        <v>15</v>
      </c>
      <c r="F108" s="191" t="s">
        <v>59</v>
      </c>
      <c r="G108" s="191"/>
      <c r="H108" s="193">
        <f t="shared" si="16"/>
        <v>5.8035000000000005</v>
      </c>
      <c r="I108" s="194">
        <v>1.5900000000000001E-2</v>
      </c>
      <c r="J108" s="194">
        <f t="shared" si="17"/>
        <v>0.47700000000000004</v>
      </c>
      <c r="K108" s="194">
        <f t="shared" si="18"/>
        <v>4.7815000000000003</v>
      </c>
      <c r="L108" s="194">
        <v>1.3100000000000001E-2</v>
      </c>
      <c r="M108" s="194">
        <f t="shared" si="19"/>
        <v>0.39300000000000002</v>
      </c>
      <c r="N108" s="194">
        <f t="shared" si="20"/>
        <v>-2.8000000000000004E-3</v>
      </c>
      <c r="O108" s="195"/>
      <c r="P108" s="195"/>
      <c r="Q108" s="195"/>
      <c r="R108" s="195"/>
      <c r="S108" s="195"/>
      <c r="T108" s="195"/>
      <c r="U108" s="195"/>
      <c r="V108" s="195"/>
      <c r="W108" s="195"/>
      <c r="X108" s="195"/>
      <c r="Y108" s="195"/>
      <c r="Z108" s="195"/>
      <c r="AA108" s="195"/>
      <c r="AB108" s="195"/>
      <c r="AC108" s="196"/>
      <c r="AD108" s="196"/>
      <c r="AE108" s="196"/>
      <c r="AF108" s="196"/>
      <c r="AG108" s="196"/>
      <c r="AH108" s="196"/>
      <c r="AI108" s="196"/>
      <c r="AJ108" s="195"/>
      <c r="AK108" s="195"/>
      <c r="AL108" s="195"/>
      <c r="AM108" s="195"/>
      <c r="AN108" s="195"/>
      <c r="AO108" s="195"/>
      <c r="AP108" s="195"/>
      <c r="AQ108" s="195"/>
      <c r="AR108" s="195"/>
      <c r="AS108" s="195"/>
      <c r="AT108" s="195"/>
      <c r="AU108" s="195"/>
      <c r="AV108" s="195"/>
      <c r="AW108" s="195"/>
      <c r="AX108" s="226">
        <v>10</v>
      </c>
      <c r="AY108" s="250" t="s">
        <v>851</v>
      </c>
      <c r="AZ108" s="216" t="s">
        <v>1021</v>
      </c>
      <c r="BA108" s="235" t="s">
        <v>830</v>
      </c>
    </row>
    <row r="109" spans="1:53" s="187" customFormat="1" ht="18" customHeight="1">
      <c r="A109" s="188" t="s">
        <v>827</v>
      </c>
      <c r="B109" s="244">
        <v>3982</v>
      </c>
      <c r="C109" s="244">
        <v>3982</v>
      </c>
      <c r="D109" s="223" t="s">
        <v>1022</v>
      </c>
      <c r="E109" s="191" t="s">
        <v>15</v>
      </c>
      <c r="F109" s="191" t="s">
        <v>59</v>
      </c>
      <c r="G109" s="224"/>
      <c r="H109" s="193">
        <f t="shared" si="16"/>
        <v>38.252000000000002</v>
      </c>
      <c r="I109" s="219">
        <v>0.1048</v>
      </c>
      <c r="J109" s="194">
        <f t="shared" si="17"/>
        <v>3.1440000000000001</v>
      </c>
      <c r="K109" s="194">
        <f t="shared" si="18"/>
        <v>26.6815</v>
      </c>
      <c r="L109" s="219">
        <v>7.3099999999999998E-2</v>
      </c>
      <c r="M109" s="194">
        <f t="shared" si="19"/>
        <v>2.1930000000000001</v>
      </c>
      <c r="N109" s="194">
        <f t="shared" si="20"/>
        <v>-3.1700000000000006E-2</v>
      </c>
      <c r="O109" s="195"/>
      <c r="P109" s="195"/>
      <c r="Q109" s="195"/>
      <c r="R109" s="195"/>
      <c r="S109" s="195"/>
      <c r="T109" s="195"/>
      <c r="U109" s="195"/>
      <c r="V109" s="195"/>
      <c r="W109" s="195"/>
      <c r="X109" s="195"/>
      <c r="Y109" s="195"/>
      <c r="Z109" s="195"/>
      <c r="AA109" s="195"/>
      <c r="AB109" s="195"/>
      <c r="AC109" s="196"/>
      <c r="AD109" s="196"/>
      <c r="AE109" s="196"/>
      <c r="AF109" s="196"/>
      <c r="AG109" s="196"/>
      <c r="AH109" s="196"/>
      <c r="AI109" s="196"/>
      <c r="AJ109" s="195"/>
      <c r="AK109" s="195"/>
      <c r="AL109" s="195"/>
      <c r="AM109" s="195"/>
      <c r="AN109" s="195"/>
      <c r="AO109" s="195"/>
      <c r="AP109" s="195"/>
      <c r="AQ109" s="195"/>
      <c r="AR109" s="195"/>
      <c r="AS109" s="195"/>
      <c r="AT109" s="195"/>
      <c r="AU109" s="195"/>
      <c r="AV109" s="195"/>
      <c r="AW109" s="195"/>
      <c r="AX109" s="241">
        <v>20</v>
      </c>
      <c r="AY109" s="241">
        <v>20</v>
      </c>
      <c r="AZ109" s="234" t="s">
        <v>1023</v>
      </c>
      <c r="BA109" s="251" t="s">
        <v>1024</v>
      </c>
    </row>
    <row r="110" spans="1:53" s="187" customFormat="1">
      <c r="A110" s="188" t="s">
        <v>827</v>
      </c>
      <c r="B110" s="219">
        <v>4005</v>
      </c>
      <c r="C110" s="219">
        <v>4005</v>
      </c>
      <c r="D110" s="188" t="s">
        <v>1025</v>
      </c>
      <c r="E110" s="191" t="s">
        <v>15</v>
      </c>
      <c r="F110" s="191" t="s">
        <v>56</v>
      </c>
      <c r="G110" s="191" t="s">
        <v>782</v>
      </c>
      <c r="H110" s="193">
        <f t="shared" si="16"/>
        <v>110.22999999999999</v>
      </c>
      <c r="I110" s="194">
        <v>0.30199999999999999</v>
      </c>
      <c r="J110" s="194">
        <f t="shared" si="17"/>
        <v>9.06</v>
      </c>
      <c r="K110" s="194">
        <f t="shared" si="18"/>
        <v>110.85050000000001</v>
      </c>
      <c r="L110" s="194">
        <v>0.30370000000000003</v>
      </c>
      <c r="M110" s="194">
        <f t="shared" si="19"/>
        <v>9.1110000000000007</v>
      </c>
      <c r="N110" s="194">
        <f t="shared" si="20"/>
        <v>1.7000000000000348E-3</v>
      </c>
      <c r="O110" s="195"/>
      <c r="P110" s="195"/>
      <c r="Q110" s="195"/>
      <c r="R110" s="195"/>
      <c r="S110" s="195"/>
      <c r="T110" s="195"/>
      <c r="U110" s="195"/>
      <c r="V110" s="195"/>
      <c r="W110" s="195"/>
      <c r="X110" s="195"/>
      <c r="Y110" s="195"/>
      <c r="Z110" s="195"/>
      <c r="AA110" s="195"/>
      <c r="AB110" s="195"/>
      <c r="AC110" s="196"/>
      <c r="AD110" s="196"/>
      <c r="AE110" s="196"/>
      <c r="AF110" s="196"/>
      <c r="AG110" s="196"/>
      <c r="AH110" s="196"/>
      <c r="AI110" s="196"/>
      <c r="AJ110" s="195"/>
      <c r="AK110" s="195"/>
      <c r="AL110" s="195"/>
      <c r="AM110" s="195"/>
      <c r="AN110" s="195"/>
      <c r="AO110" s="195"/>
      <c r="AP110" s="195"/>
      <c r="AQ110" s="195"/>
      <c r="AR110" s="195"/>
      <c r="AS110" s="195"/>
      <c r="AT110" s="195"/>
      <c r="AU110" s="195"/>
      <c r="AV110" s="195"/>
      <c r="AW110" s="195"/>
      <c r="AX110" s="226">
        <v>20</v>
      </c>
      <c r="AY110" s="250">
        <v>20</v>
      </c>
      <c r="AZ110" s="207" t="s">
        <v>835</v>
      </c>
      <c r="BA110" s="190" t="s">
        <v>1026</v>
      </c>
    </row>
    <row r="111" spans="1:53" s="187" customFormat="1">
      <c r="A111" s="188" t="s">
        <v>827</v>
      </c>
      <c r="B111" s="219">
        <v>4017</v>
      </c>
      <c r="C111" s="219">
        <v>4017</v>
      </c>
      <c r="D111" s="188" t="s">
        <v>1027</v>
      </c>
      <c r="E111" s="191" t="s">
        <v>15</v>
      </c>
      <c r="F111" s="191" t="s">
        <v>59</v>
      </c>
      <c r="G111" s="191" t="s">
        <v>782</v>
      </c>
      <c r="H111" s="193">
        <f t="shared" si="16"/>
        <v>6.7889999999999997</v>
      </c>
      <c r="I111" s="194">
        <v>1.8599999999999998E-2</v>
      </c>
      <c r="J111" s="194">
        <f t="shared" si="17"/>
        <v>0.55799999999999994</v>
      </c>
      <c r="K111" s="194">
        <f t="shared" si="18"/>
        <v>5.4020000000000001</v>
      </c>
      <c r="L111" s="194">
        <v>1.4800000000000001E-2</v>
      </c>
      <c r="M111" s="194">
        <f t="shared" si="19"/>
        <v>0.44400000000000001</v>
      </c>
      <c r="N111" s="194">
        <f t="shared" si="20"/>
        <v>-3.7999999999999978E-3</v>
      </c>
      <c r="O111" s="195"/>
      <c r="P111" s="195"/>
      <c r="Q111" s="195"/>
      <c r="R111" s="195"/>
      <c r="S111" s="195"/>
      <c r="T111" s="195"/>
      <c r="U111" s="195"/>
      <c r="V111" s="195"/>
      <c r="W111" s="195"/>
      <c r="X111" s="195"/>
      <c r="Y111" s="195"/>
      <c r="Z111" s="195"/>
      <c r="AA111" s="195"/>
      <c r="AB111" s="195"/>
      <c r="AC111" s="196"/>
      <c r="AD111" s="196"/>
      <c r="AE111" s="196"/>
      <c r="AF111" s="196"/>
      <c r="AG111" s="196"/>
      <c r="AH111" s="196"/>
      <c r="AI111" s="196"/>
      <c r="AJ111" s="195"/>
      <c r="AK111" s="195"/>
      <c r="AL111" s="195"/>
      <c r="AM111" s="195"/>
      <c r="AN111" s="195"/>
      <c r="AO111" s="195"/>
      <c r="AP111" s="195"/>
      <c r="AQ111" s="195"/>
      <c r="AR111" s="195"/>
      <c r="AS111" s="195"/>
      <c r="AT111" s="195"/>
      <c r="AU111" s="195"/>
      <c r="AV111" s="195"/>
      <c r="AW111" s="195"/>
      <c r="AX111" s="226">
        <v>20</v>
      </c>
      <c r="AY111" s="250">
        <v>20</v>
      </c>
      <c r="AZ111" s="207" t="s">
        <v>910</v>
      </c>
      <c r="BA111" s="190" t="s">
        <v>830</v>
      </c>
    </row>
    <row r="112" spans="1:53" s="187" customFormat="1">
      <c r="A112" s="188" t="s">
        <v>827</v>
      </c>
      <c r="B112" s="219">
        <v>4026</v>
      </c>
      <c r="C112" s="219">
        <v>4026</v>
      </c>
      <c r="D112" s="190" t="s">
        <v>1028</v>
      </c>
      <c r="E112" s="191" t="s">
        <v>15</v>
      </c>
      <c r="F112" s="191" t="s">
        <v>59</v>
      </c>
      <c r="G112" s="191"/>
      <c r="H112" s="193">
        <f t="shared" si="16"/>
        <v>18.98</v>
      </c>
      <c r="I112" s="194">
        <v>5.1999999999999998E-2</v>
      </c>
      <c r="J112" s="194">
        <f t="shared" si="17"/>
        <v>1.5599999999999998</v>
      </c>
      <c r="K112" s="194">
        <f t="shared" si="18"/>
        <v>33.872</v>
      </c>
      <c r="L112" s="194">
        <v>9.2799999999999994E-2</v>
      </c>
      <c r="M112" s="194">
        <f t="shared" si="19"/>
        <v>2.7839999999999998</v>
      </c>
      <c r="N112" s="194">
        <f t="shared" si="20"/>
        <v>4.0799999999999996E-2</v>
      </c>
      <c r="O112" s="195"/>
      <c r="P112" s="195"/>
      <c r="Q112" s="195"/>
      <c r="R112" s="195"/>
      <c r="S112" s="195"/>
      <c r="T112" s="195"/>
      <c r="U112" s="195"/>
      <c r="V112" s="195"/>
      <c r="W112" s="195"/>
      <c r="X112" s="195"/>
      <c r="Y112" s="195"/>
      <c r="Z112" s="195"/>
      <c r="AA112" s="195"/>
      <c r="AB112" s="195"/>
      <c r="AC112" s="196"/>
      <c r="AD112" s="196"/>
      <c r="AE112" s="196"/>
      <c r="AF112" s="196"/>
      <c r="AG112" s="196"/>
      <c r="AH112" s="196"/>
      <c r="AI112" s="196"/>
      <c r="AJ112" s="195"/>
      <c r="AK112" s="195"/>
      <c r="AL112" s="195"/>
      <c r="AM112" s="195"/>
      <c r="AN112" s="195"/>
      <c r="AO112" s="195"/>
      <c r="AP112" s="195"/>
      <c r="AQ112" s="195"/>
      <c r="AR112" s="195"/>
      <c r="AS112" s="195"/>
      <c r="AT112" s="195"/>
      <c r="AU112" s="195"/>
      <c r="AV112" s="195"/>
      <c r="AW112" s="195"/>
      <c r="AX112" s="226" t="s">
        <v>1029</v>
      </c>
      <c r="AY112" s="250" t="s">
        <v>1029</v>
      </c>
      <c r="AZ112" s="207" t="s">
        <v>1030</v>
      </c>
      <c r="BA112" s="190" t="s">
        <v>1031</v>
      </c>
    </row>
    <row r="113" spans="1:53" s="187" customFormat="1">
      <c r="A113" s="188" t="s">
        <v>827</v>
      </c>
      <c r="B113" s="219">
        <v>4093</v>
      </c>
      <c r="C113" s="219">
        <v>4093</v>
      </c>
      <c r="D113" s="190" t="s">
        <v>1032</v>
      </c>
      <c r="E113" s="191" t="s">
        <v>15</v>
      </c>
      <c r="F113" s="191" t="s">
        <v>59</v>
      </c>
      <c r="G113" s="191"/>
      <c r="H113" s="193">
        <f t="shared" si="16"/>
        <v>41.390999999999998</v>
      </c>
      <c r="I113" s="194">
        <v>0.1134</v>
      </c>
      <c r="J113" s="194">
        <f t="shared" si="17"/>
        <v>3.4020000000000001</v>
      </c>
      <c r="K113" s="194">
        <f t="shared" si="18"/>
        <v>44.675999999999995</v>
      </c>
      <c r="L113" s="194">
        <v>0.12239999999999999</v>
      </c>
      <c r="M113" s="194">
        <f t="shared" si="19"/>
        <v>3.6719999999999997</v>
      </c>
      <c r="N113" s="194">
        <f t="shared" si="20"/>
        <v>8.9999999999999941E-3</v>
      </c>
      <c r="O113" s="195"/>
      <c r="P113" s="195"/>
      <c r="Q113" s="195"/>
      <c r="R113" s="195"/>
      <c r="S113" s="195"/>
      <c r="T113" s="195"/>
      <c r="U113" s="195"/>
      <c r="V113" s="195"/>
      <c r="W113" s="195"/>
      <c r="X113" s="195"/>
      <c r="Y113" s="195"/>
      <c r="Z113" s="195"/>
      <c r="AA113" s="195"/>
      <c r="AB113" s="195"/>
      <c r="AC113" s="196"/>
      <c r="AD113" s="196"/>
      <c r="AE113" s="196"/>
      <c r="AF113" s="196"/>
      <c r="AG113" s="196"/>
      <c r="AH113" s="196"/>
      <c r="AI113" s="196"/>
      <c r="AJ113" s="195"/>
      <c r="AK113" s="195"/>
      <c r="AL113" s="195"/>
      <c r="AM113" s="195"/>
      <c r="AN113" s="195"/>
      <c r="AO113" s="195"/>
      <c r="AP113" s="195"/>
      <c r="AQ113" s="195"/>
      <c r="AR113" s="195"/>
      <c r="AS113" s="195"/>
      <c r="AT113" s="195"/>
      <c r="AU113" s="195"/>
      <c r="AV113" s="195"/>
      <c r="AW113" s="195"/>
      <c r="AX113" s="226">
        <v>20</v>
      </c>
      <c r="AY113" s="250">
        <v>20</v>
      </c>
      <c r="AZ113" s="207" t="s">
        <v>882</v>
      </c>
      <c r="BA113" s="201" t="s">
        <v>878</v>
      </c>
    </row>
    <row r="114" spans="1:53" s="187" customFormat="1">
      <c r="A114" s="188" t="s">
        <v>827</v>
      </c>
      <c r="B114" s="219">
        <v>4099</v>
      </c>
      <c r="C114" s="219">
        <v>4099</v>
      </c>
      <c r="D114" s="190" t="s">
        <v>1033</v>
      </c>
      <c r="E114" s="191" t="s">
        <v>15</v>
      </c>
      <c r="F114" s="191" t="s">
        <v>59</v>
      </c>
      <c r="G114" s="191"/>
      <c r="H114" s="193">
        <f t="shared" si="16"/>
        <v>92.563999999999993</v>
      </c>
      <c r="I114" s="194">
        <v>0.25359999999999999</v>
      </c>
      <c r="J114" s="194">
        <f t="shared" si="17"/>
        <v>7.6079999999999997</v>
      </c>
      <c r="K114" s="194">
        <f t="shared" si="18"/>
        <v>92.563999999999993</v>
      </c>
      <c r="L114" s="194">
        <v>0.25359999999999999</v>
      </c>
      <c r="M114" s="194">
        <f t="shared" si="19"/>
        <v>7.6079999999999997</v>
      </c>
      <c r="N114" s="194">
        <f t="shared" si="20"/>
        <v>0</v>
      </c>
      <c r="O114" s="195"/>
      <c r="P114" s="195"/>
      <c r="Q114" s="195"/>
      <c r="R114" s="195"/>
      <c r="S114" s="195"/>
      <c r="T114" s="195"/>
      <c r="U114" s="195"/>
      <c r="V114" s="195"/>
      <c r="W114" s="195"/>
      <c r="X114" s="195"/>
      <c r="Y114" s="195"/>
      <c r="Z114" s="195"/>
      <c r="AA114" s="195"/>
      <c r="AB114" s="195"/>
      <c r="AC114" s="196"/>
      <c r="AD114" s="196"/>
      <c r="AE114" s="196"/>
      <c r="AF114" s="196"/>
      <c r="AG114" s="196"/>
      <c r="AH114" s="196"/>
      <c r="AI114" s="196"/>
      <c r="AJ114" s="195"/>
      <c r="AK114" s="195"/>
      <c r="AL114" s="195"/>
      <c r="AM114" s="195"/>
      <c r="AN114" s="195"/>
      <c r="AO114" s="195"/>
      <c r="AP114" s="195"/>
      <c r="AQ114" s="195"/>
      <c r="AR114" s="195"/>
      <c r="AS114" s="195"/>
      <c r="AT114" s="195"/>
      <c r="AU114" s="195"/>
      <c r="AV114" s="195"/>
      <c r="AW114" s="195"/>
      <c r="AX114" s="191">
        <v>20</v>
      </c>
      <c r="AY114" s="215">
        <v>20</v>
      </c>
      <c r="AZ114" s="207" t="s">
        <v>765</v>
      </c>
      <c r="BA114" s="190" t="s">
        <v>878</v>
      </c>
    </row>
    <row r="115" spans="1:53" s="187" customFormat="1" ht="19.149999999999999" customHeight="1">
      <c r="A115" s="188" t="s">
        <v>827</v>
      </c>
      <c r="B115" s="189">
        <v>4108</v>
      </c>
      <c r="C115" s="189">
        <v>4108</v>
      </c>
      <c r="D115" s="190" t="s">
        <v>1034</v>
      </c>
      <c r="E115" s="191" t="s">
        <v>15</v>
      </c>
      <c r="F115" s="191" t="s">
        <v>59</v>
      </c>
      <c r="G115" s="191"/>
      <c r="H115" s="193">
        <f t="shared" si="16"/>
        <v>154.68700000000001</v>
      </c>
      <c r="I115" s="194">
        <v>0.42380000000000001</v>
      </c>
      <c r="J115" s="194">
        <f t="shared" si="17"/>
        <v>12.714</v>
      </c>
      <c r="K115" s="194">
        <f t="shared" si="18"/>
        <v>154.68700000000001</v>
      </c>
      <c r="L115" s="194">
        <v>0.42380000000000001</v>
      </c>
      <c r="M115" s="194">
        <f t="shared" si="19"/>
        <v>12.714</v>
      </c>
      <c r="N115" s="194">
        <f t="shared" si="20"/>
        <v>0</v>
      </c>
      <c r="O115" s="195"/>
      <c r="P115" s="195"/>
      <c r="Q115" s="195"/>
      <c r="R115" s="195"/>
      <c r="S115" s="195"/>
      <c r="T115" s="195"/>
      <c r="U115" s="195"/>
      <c r="V115" s="195"/>
      <c r="W115" s="195"/>
      <c r="X115" s="195"/>
      <c r="Y115" s="195"/>
      <c r="Z115" s="195"/>
      <c r="AA115" s="195"/>
      <c r="AB115" s="195"/>
      <c r="AC115" s="196"/>
      <c r="AD115" s="196"/>
      <c r="AE115" s="196"/>
      <c r="AF115" s="196"/>
      <c r="AG115" s="196"/>
      <c r="AH115" s="196"/>
      <c r="AI115" s="196"/>
      <c r="AJ115" s="195"/>
      <c r="AK115" s="195"/>
      <c r="AL115" s="195"/>
      <c r="AM115" s="195"/>
      <c r="AN115" s="195"/>
      <c r="AO115" s="195"/>
      <c r="AP115" s="195"/>
      <c r="AQ115" s="195"/>
      <c r="AR115" s="195"/>
      <c r="AS115" s="195"/>
      <c r="AT115" s="195"/>
      <c r="AU115" s="195"/>
      <c r="AV115" s="195"/>
      <c r="AW115" s="195"/>
      <c r="AX115" s="191">
        <v>10</v>
      </c>
      <c r="AY115" s="215" t="s">
        <v>851</v>
      </c>
      <c r="AZ115" s="207" t="s">
        <v>897</v>
      </c>
      <c r="BA115" s="188" t="s">
        <v>833</v>
      </c>
    </row>
    <row r="116" spans="1:53" s="187" customFormat="1">
      <c r="A116" s="188" t="s">
        <v>827</v>
      </c>
      <c r="B116" s="189">
        <v>4170</v>
      </c>
      <c r="C116" s="189">
        <v>4170</v>
      </c>
      <c r="D116" s="190" t="s">
        <v>1035</v>
      </c>
      <c r="E116" s="191" t="s">
        <v>15</v>
      </c>
      <c r="F116" s="191" t="s">
        <v>59</v>
      </c>
      <c r="G116" s="191"/>
      <c r="H116" s="193">
        <f t="shared" si="16"/>
        <v>11.3515</v>
      </c>
      <c r="I116" s="194">
        <v>3.1099999999999999E-2</v>
      </c>
      <c r="J116" s="194">
        <f t="shared" si="17"/>
        <v>0.93299999999999994</v>
      </c>
      <c r="K116" s="194">
        <f t="shared" si="18"/>
        <v>11.3515</v>
      </c>
      <c r="L116" s="194">
        <v>3.1099999999999999E-2</v>
      </c>
      <c r="M116" s="194">
        <f t="shared" si="19"/>
        <v>0.93299999999999994</v>
      </c>
      <c r="N116" s="194">
        <f t="shared" si="20"/>
        <v>0</v>
      </c>
      <c r="O116" s="195"/>
      <c r="P116" s="195"/>
      <c r="Q116" s="195"/>
      <c r="R116" s="195"/>
      <c r="S116" s="195"/>
      <c r="T116" s="195"/>
      <c r="U116" s="195"/>
      <c r="V116" s="195"/>
      <c r="W116" s="195"/>
      <c r="X116" s="195"/>
      <c r="Y116" s="195"/>
      <c r="Z116" s="195"/>
      <c r="AA116" s="195"/>
      <c r="AB116" s="195"/>
      <c r="AC116" s="196"/>
      <c r="AD116" s="196"/>
      <c r="AE116" s="196"/>
      <c r="AF116" s="196"/>
      <c r="AG116" s="196"/>
      <c r="AH116" s="196"/>
      <c r="AI116" s="196"/>
      <c r="AJ116" s="195"/>
      <c r="AK116" s="195"/>
      <c r="AL116" s="195"/>
      <c r="AM116" s="195"/>
      <c r="AN116" s="195"/>
      <c r="AO116" s="195"/>
      <c r="AP116" s="195"/>
      <c r="AQ116" s="195"/>
      <c r="AR116" s="195"/>
      <c r="AS116" s="195"/>
      <c r="AT116" s="195"/>
      <c r="AU116" s="195"/>
      <c r="AV116" s="195"/>
      <c r="AW116" s="195"/>
      <c r="AX116" s="191">
        <v>10</v>
      </c>
      <c r="AY116" s="225" t="s">
        <v>851</v>
      </c>
      <c r="AZ116" s="207" t="s">
        <v>765</v>
      </c>
      <c r="BA116" s="188" t="s">
        <v>830</v>
      </c>
    </row>
    <row r="117" spans="1:53" s="187" customFormat="1">
      <c r="A117" s="188" t="s">
        <v>827</v>
      </c>
      <c r="B117" s="219">
        <v>4174</v>
      </c>
      <c r="C117" s="219">
        <v>4174</v>
      </c>
      <c r="D117" s="188" t="s">
        <v>1036</v>
      </c>
      <c r="E117" s="191" t="s">
        <v>15</v>
      </c>
      <c r="F117" s="191" t="s">
        <v>58</v>
      </c>
      <c r="G117" s="191" t="s">
        <v>782</v>
      </c>
      <c r="H117" s="193">
        <f t="shared" si="16"/>
        <v>1.2775000000000001</v>
      </c>
      <c r="I117" s="194">
        <v>3.5000000000000001E-3</v>
      </c>
      <c r="J117" s="194">
        <f t="shared" si="17"/>
        <v>0.105</v>
      </c>
      <c r="K117" s="194">
        <f t="shared" si="18"/>
        <v>1.2775000000000001</v>
      </c>
      <c r="L117" s="194">
        <v>3.5000000000000001E-3</v>
      </c>
      <c r="M117" s="194">
        <f t="shared" si="19"/>
        <v>0.105</v>
      </c>
      <c r="N117" s="194">
        <f t="shared" si="20"/>
        <v>0</v>
      </c>
      <c r="O117" s="195"/>
      <c r="P117" s="195"/>
      <c r="Q117" s="195"/>
      <c r="R117" s="195"/>
      <c r="S117" s="195"/>
      <c r="T117" s="195"/>
      <c r="U117" s="195"/>
      <c r="V117" s="195"/>
      <c r="W117" s="195"/>
      <c r="X117" s="195"/>
      <c r="Y117" s="195"/>
      <c r="Z117" s="195"/>
      <c r="AA117" s="195"/>
      <c r="AB117" s="195"/>
      <c r="AC117" s="196"/>
      <c r="AD117" s="196"/>
      <c r="AE117" s="196"/>
      <c r="AF117" s="196"/>
      <c r="AG117" s="196"/>
      <c r="AH117" s="196"/>
      <c r="AI117" s="196"/>
      <c r="AJ117" s="195"/>
      <c r="AK117" s="195"/>
      <c r="AL117" s="195"/>
      <c r="AM117" s="195"/>
      <c r="AN117" s="195"/>
      <c r="AO117" s="195"/>
      <c r="AP117" s="195"/>
      <c r="AQ117" s="195"/>
      <c r="AR117" s="195"/>
      <c r="AS117" s="195"/>
      <c r="AT117" s="195"/>
      <c r="AU117" s="195"/>
      <c r="AV117" s="195"/>
      <c r="AW117" s="195"/>
      <c r="AX117" s="226">
        <v>20</v>
      </c>
      <c r="AY117" s="249">
        <v>20</v>
      </c>
      <c r="AZ117" s="207" t="s">
        <v>835</v>
      </c>
      <c r="BA117" s="190" t="s">
        <v>830</v>
      </c>
    </row>
    <row r="118" spans="1:53" s="187" customFormat="1">
      <c r="A118" s="188" t="s">
        <v>827</v>
      </c>
      <c r="B118" s="238">
        <v>4203</v>
      </c>
      <c r="C118" s="238">
        <v>4203</v>
      </c>
      <c r="D118" s="211" t="s">
        <v>1037</v>
      </c>
      <c r="E118" s="191" t="s">
        <v>15</v>
      </c>
      <c r="F118" s="191" t="s">
        <v>59</v>
      </c>
      <c r="G118" s="212"/>
      <c r="H118" s="193">
        <f t="shared" si="16"/>
        <v>14.125499999999999</v>
      </c>
      <c r="I118" s="194">
        <v>3.8699999999999998E-2</v>
      </c>
      <c r="J118" s="194">
        <f t="shared" si="17"/>
        <v>1.161</v>
      </c>
      <c r="K118" s="194">
        <f t="shared" si="18"/>
        <v>14.125499999999999</v>
      </c>
      <c r="L118" s="194">
        <v>3.8699999999999998E-2</v>
      </c>
      <c r="M118" s="194">
        <f t="shared" si="19"/>
        <v>1.161</v>
      </c>
      <c r="N118" s="194">
        <f t="shared" si="20"/>
        <v>0</v>
      </c>
      <c r="O118" s="195"/>
      <c r="P118" s="195"/>
      <c r="Q118" s="195"/>
      <c r="R118" s="195"/>
      <c r="S118" s="195"/>
      <c r="T118" s="195"/>
      <c r="U118" s="195"/>
      <c r="V118" s="195"/>
      <c r="W118" s="195"/>
      <c r="X118" s="195"/>
      <c r="Y118" s="195"/>
      <c r="Z118" s="195"/>
      <c r="AA118" s="195"/>
      <c r="AB118" s="195"/>
      <c r="AC118" s="196"/>
      <c r="AD118" s="196"/>
      <c r="AE118" s="196"/>
      <c r="AF118" s="196"/>
      <c r="AG118" s="196"/>
      <c r="AH118" s="196"/>
      <c r="AI118" s="196"/>
      <c r="AJ118" s="195"/>
      <c r="AK118" s="195"/>
      <c r="AL118" s="195"/>
      <c r="AM118" s="195"/>
      <c r="AN118" s="195"/>
      <c r="AO118" s="195"/>
      <c r="AP118" s="195"/>
      <c r="AQ118" s="195"/>
      <c r="AR118" s="195"/>
      <c r="AS118" s="195"/>
      <c r="AT118" s="195"/>
      <c r="AU118" s="195"/>
      <c r="AV118" s="195"/>
      <c r="AW118" s="195"/>
      <c r="AX118" s="191">
        <v>20</v>
      </c>
      <c r="AY118" s="215" t="s">
        <v>851</v>
      </c>
      <c r="AZ118" s="207" t="s">
        <v>832</v>
      </c>
      <c r="BA118" s="188" t="s">
        <v>855</v>
      </c>
    </row>
    <row r="119" spans="1:53" s="187" customFormat="1">
      <c r="A119" s="188" t="s">
        <v>827</v>
      </c>
      <c r="B119" s="189">
        <v>4242</v>
      </c>
      <c r="C119" s="189">
        <v>4242</v>
      </c>
      <c r="D119" s="190" t="s">
        <v>1038</v>
      </c>
      <c r="E119" s="191" t="s">
        <v>15</v>
      </c>
      <c r="F119" s="191" t="s">
        <v>59</v>
      </c>
      <c r="G119" s="191"/>
      <c r="H119" s="193">
        <f t="shared" si="16"/>
        <v>17.6295</v>
      </c>
      <c r="I119" s="194">
        <v>4.8300000000000003E-2</v>
      </c>
      <c r="J119" s="194">
        <f t="shared" si="17"/>
        <v>1.4490000000000001</v>
      </c>
      <c r="K119" s="194">
        <f t="shared" si="18"/>
        <v>33.105499999999999</v>
      </c>
      <c r="L119" s="194">
        <v>9.0700000000000003E-2</v>
      </c>
      <c r="M119" s="194">
        <f t="shared" si="19"/>
        <v>2.7210000000000001</v>
      </c>
      <c r="N119" s="194">
        <f t="shared" si="20"/>
        <v>4.24E-2</v>
      </c>
      <c r="O119" s="195"/>
      <c r="P119" s="195"/>
      <c r="Q119" s="195"/>
      <c r="R119" s="195"/>
      <c r="S119" s="195"/>
      <c r="T119" s="195"/>
      <c r="U119" s="195"/>
      <c r="V119" s="195"/>
      <c r="W119" s="195"/>
      <c r="X119" s="195"/>
      <c r="Y119" s="195"/>
      <c r="Z119" s="195"/>
      <c r="AA119" s="195"/>
      <c r="AB119" s="195"/>
      <c r="AC119" s="196"/>
      <c r="AD119" s="196"/>
      <c r="AE119" s="196"/>
      <c r="AF119" s="196"/>
      <c r="AG119" s="196"/>
      <c r="AH119" s="196"/>
      <c r="AI119" s="196"/>
      <c r="AJ119" s="195"/>
      <c r="AK119" s="195"/>
      <c r="AL119" s="195"/>
      <c r="AM119" s="195"/>
      <c r="AN119" s="195"/>
      <c r="AO119" s="195"/>
      <c r="AP119" s="195"/>
      <c r="AQ119" s="195"/>
      <c r="AR119" s="195"/>
      <c r="AS119" s="195"/>
      <c r="AT119" s="195"/>
      <c r="AU119" s="195"/>
      <c r="AV119" s="195"/>
      <c r="AW119" s="195"/>
      <c r="AX119" s="191">
        <v>20</v>
      </c>
      <c r="AY119" s="215">
        <v>20</v>
      </c>
      <c r="AZ119" s="207" t="s">
        <v>1039</v>
      </c>
      <c r="BA119" s="188"/>
    </row>
    <row r="120" spans="1:53" s="187" customFormat="1">
      <c r="A120" s="188" t="s">
        <v>827</v>
      </c>
      <c r="B120" s="219">
        <v>4258</v>
      </c>
      <c r="C120" s="219">
        <v>4258</v>
      </c>
      <c r="D120" s="190" t="s">
        <v>1040</v>
      </c>
      <c r="E120" s="191" t="s">
        <v>15</v>
      </c>
      <c r="F120" s="191" t="s">
        <v>59</v>
      </c>
      <c r="G120" s="191"/>
      <c r="H120" s="193">
        <f t="shared" si="16"/>
        <v>16.607499999999998</v>
      </c>
      <c r="I120" s="194">
        <v>4.5499999999999999E-2</v>
      </c>
      <c r="J120" s="194">
        <f t="shared" si="17"/>
        <v>1.365</v>
      </c>
      <c r="K120" s="194">
        <f t="shared" si="18"/>
        <v>16.607499999999998</v>
      </c>
      <c r="L120" s="194">
        <v>4.5499999999999999E-2</v>
      </c>
      <c r="M120" s="194">
        <f t="shared" si="19"/>
        <v>1.365</v>
      </c>
      <c r="N120" s="194">
        <f t="shared" si="20"/>
        <v>0</v>
      </c>
      <c r="O120" s="195"/>
      <c r="P120" s="195"/>
      <c r="Q120" s="195"/>
      <c r="R120" s="195"/>
      <c r="S120" s="195"/>
      <c r="T120" s="195"/>
      <c r="U120" s="195"/>
      <c r="V120" s="195"/>
      <c r="W120" s="195"/>
      <c r="X120" s="195"/>
      <c r="Y120" s="195"/>
      <c r="Z120" s="195"/>
      <c r="AA120" s="195"/>
      <c r="AB120" s="195"/>
      <c r="AC120" s="196"/>
      <c r="AD120" s="196"/>
      <c r="AE120" s="196"/>
      <c r="AF120" s="196"/>
      <c r="AG120" s="196"/>
      <c r="AH120" s="196"/>
      <c r="AI120" s="196"/>
      <c r="AJ120" s="195"/>
      <c r="AK120" s="195"/>
      <c r="AL120" s="195"/>
      <c r="AM120" s="195"/>
      <c r="AN120" s="195"/>
      <c r="AO120" s="195"/>
      <c r="AP120" s="195"/>
      <c r="AQ120" s="195"/>
      <c r="AR120" s="195"/>
      <c r="AS120" s="195"/>
      <c r="AT120" s="195"/>
      <c r="AU120" s="195"/>
      <c r="AV120" s="195"/>
      <c r="AW120" s="195"/>
      <c r="AX120" s="226">
        <v>20</v>
      </c>
      <c r="AY120" s="250">
        <v>20</v>
      </c>
      <c r="AZ120" s="207" t="s">
        <v>832</v>
      </c>
      <c r="BA120" s="201" t="s">
        <v>855</v>
      </c>
    </row>
    <row r="121" spans="1:53" s="187" customFormat="1" ht="15.6" customHeight="1">
      <c r="A121" s="188" t="s">
        <v>827</v>
      </c>
      <c r="B121" s="189">
        <v>4263</v>
      </c>
      <c r="C121" s="189">
        <v>4263</v>
      </c>
      <c r="D121" s="190" t="s">
        <v>1041</v>
      </c>
      <c r="E121" s="191" t="s">
        <v>15</v>
      </c>
      <c r="F121" s="191" t="s">
        <v>59</v>
      </c>
      <c r="G121" s="191"/>
      <c r="H121" s="193">
        <f t="shared" si="16"/>
        <v>100.59400000000001</v>
      </c>
      <c r="I121" s="194">
        <v>0.27560000000000001</v>
      </c>
      <c r="J121" s="194">
        <f t="shared" si="17"/>
        <v>8.2680000000000007</v>
      </c>
      <c r="K121" s="194">
        <f t="shared" si="18"/>
        <v>100.59400000000001</v>
      </c>
      <c r="L121" s="194">
        <v>0.27560000000000001</v>
      </c>
      <c r="M121" s="194">
        <f t="shared" si="19"/>
        <v>8.2680000000000007</v>
      </c>
      <c r="N121" s="194">
        <f t="shared" si="20"/>
        <v>0</v>
      </c>
      <c r="O121" s="195"/>
      <c r="P121" s="195"/>
      <c r="Q121" s="195"/>
      <c r="R121" s="195"/>
      <c r="S121" s="195"/>
      <c r="T121" s="195"/>
      <c r="U121" s="195"/>
      <c r="V121" s="195"/>
      <c r="W121" s="195"/>
      <c r="X121" s="195"/>
      <c r="Y121" s="195"/>
      <c r="Z121" s="195"/>
      <c r="AA121" s="195"/>
      <c r="AB121" s="195"/>
      <c r="AC121" s="196"/>
      <c r="AD121" s="196"/>
      <c r="AE121" s="196"/>
      <c r="AF121" s="196"/>
      <c r="AG121" s="196"/>
      <c r="AH121" s="196"/>
      <c r="AI121" s="196"/>
      <c r="AJ121" s="195"/>
      <c r="AK121" s="195"/>
      <c r="AL121" s="195"/>
      <c r="AM121" s="195"/>
      <c r="AN121" s="195"/>
      <c r="AO121" s="195"/>
      <c r="AP121" s="195"/>
      <c r="AQ121" s="195"/>
      <c r="AR121" s="195"/>
      <c r="AS121" s="195"/>
      <c r="AT121" s="195"/>
      <c r="AU121" s="195"/>
      <c r="AV121" s="195"/>
      <c r="AW121" s="195"/>
      <c r="AX121" s="191">
        <v>20</v>
      </c>
      <c r="AY121" s="215">
        <v>20</v>
      </c>
      <c r="AZ121" s="207" t="s">
        <v>1042</v>
      </c>
      <c r="BA121" s="229" t="s">
        <v>1008</v>
      </c>
    </row>
    <row r="122" spans="1:53" s="187" customFormat="1" ht="16.899999999999999" customHeight="1">
      <c r="A122" s="188" t="s">
        <v>827</v>
      </c>
      <c r="B122" s="240">
        <v>4276</v>
      </c>
      <c r="C122" s="240">
        <v>4276</v>
      </c>
      <c r="D122" s="214" t="s">
        <v>1043</v>
      </c>
      <c r="E122" s="191" t="s">
        <v>15</v>
      </c>
      <c r="F122" s="191" t="s">
        <v>59</v>
      </c>
      <c r="G122" s="191"/>
      <c r="H122" s="193">
        <f t="shared" si="16"/>
        <v>3.3580000000000001</v>
      </c>
      <c r="I122" s="194">
        <v>9.1999999999999998E-3</v>
      </c>
      <c r="J122" s="194">
        <f t="shared" si="17"/>
        <v>0.27600000000000002</v>
      </c>
      <c r="K122" s="194">
        <f t="shared" si="18"/>
        <v>3.3580000000000001</v>
      </c>
      <c r="L122" s="194">
        <v>9.1999999999999998E-3</v>
      </c>
      <c r="M122" s="194">
        <f t="shared" si="19"/>
        <v>0.27600000000000002</v>
      </c>
      <c r="N122" s="194">
        <f t="shared" si="20"/>
        <v>0</v>
      </c>
      <c r="O122" s="195"/>
      <c r="P122" s="195"/>
      <c r="Q122" s="195"/>
      <c r="R122" s="195"/>
      <c r="S122" s="195"/>
      <c r="T122" s="195"/>
      <c r="U122" s="195"/>
      <c r="V122" s="195"/>
      <c r="W122" s="195"/>
      <c r="X122" s="195"/>
      <c r="Y122" s="195"/>
      <c r="Z122" s="195"/>
      <c r="AA122" s="195"/>
      <c r="AB122" s="195"/>
      <c r="AC122" s="196"/>
      <c r="AD122" s="196"/>
      <c r="AE122" s="196"/>
      <c r="AF122" s="196"/>
      <c r="AG122" s="196"/>
      <c r="AH122" s="196"/>
      <c r="AI122" s="196"/>
      <c r="AJ122" s="195"/>
      <c r="AK122" s="195"/>
      <c r="AL122" s="195"/>
      <c r="AM122" s="195"/>
      <c r="AN122" s="195"/>
      <c r="AO122" s="195"/>
      <c r="AP122" s="195"/>
      <c r="AQ122" s="195"/>
      <c r="AR122" s="195"/>
      <c r="AS122" s="195"/>
      <c r="AT122" s="195"/>
      <c r="AU122" s="195"/>
      <c r="AV122" s="195"/>
      <c r="AW122" s="195"/>
      <c r="AX122" s="224">
        <v>20</v>
      </c>
      <c r="AY122" s="225">
        <v>20</v>
      </c>
      <c r="AZ122" s="216" t="s">
        <v>765</v>
      </c>
      <c r="BA122" s="235" t="s">
        <v>830</v>
      </c>
    </row>
    <row r="123" spans="1:53" s="187" customFormat="1">
      <c r="A123" s="188" t="s">
        <v>827</v>
      </c>
      <c r="B123" s="240">
        <v>4278</v>
      </c>
      <c r="C123" s="240">
        <v>4278</v>
      </c>
      <c r="D123" s="214" t="s">
        <v>1044</v>
      </c>
      <c r="E123" s="191" t="s">
        <v>15</v>
      </c>
      <c r="F123" s="191" t="s">
        <v>59</v>
      </c>
      <c r="G123" s="191"/>
      <c r="H123" s="193">
        <f t="shared" si="16"/>
        <v>2.9930000000000003</v>
      </c>
      <c r="I123" s="194">
        <v>8.2000000000000007E-3</v>
      </c>
      <c r="J123" s="194">
        <f t="shared" si="17"/>
        <v>0.24600000000000002</v>
      </c>
      <c r="K123" s="194">
        <f t="shared" si="18"/>
        <v>2.9930000000000003</v>
      </c>
      <c r="L123" s="194">
        <v>8.2000000000000007E-3</v>
      </c>
      <c r="M123" s="194">
        <f t="shared" si="19"/>
        <v>0.24600000000000002</v>
      </c>
      <c r="N123" s="194">
        <f t="shared" si="20"/>
        <v>0</v>
      </c>
      <c r="O123" s="195"/>
      <c r="P123" s="195"/>
      <c r="Q123" s="195"/>
      <c r="R123" s="195"/>
      <c r="S123" s="195"/>
      <c r="T123" s="195"/>
      <c r="U123" s="195"/>
      <c r="V123" s="195"/>
      <c r="W123" s="195"/>
      <c r="X123" s="195"/>
      <c r="Y123" s="195"/>
      <c r="Z123" s="195"/>
      <c r="AA123" s="195"/>
      <c r="AB123" s="195"/>
      <c r="AC123" s="196"/>
      <c r="AD123" s="196"/>
      <c r="AE123" s="196"/>
      <c r="AF123" s="196"/>
      <c r="AG123" s="196"/>
      <c r="AH123" s="196"/>
      <c r="AI123" s="196"/>
      <c r="AJ123" s="195"/>
      <c r="AK123" s="195"/>
      <c r="AL123" s="195"/>
      <c r="AM123" s="195"/>
      <c r="AN123" s="195"/>
      <c r="AO123" s="195"/>
      <c r="AP123" s="195"/>
      <c r="AQ123" s="195"/>
      <c r="AR123" s="195"/>
      <c r="AS123" s="195"/>
      <c r="AT123" s="195"/>
      <c r="AU123" s="195"/>
      <c r="AV123" s="195"/>
      <c r="AW123" s="195"/>
      <c r="AX123" s="224">
        <v>20</v>
      </c>
      <c r="AY123" s="225">
        <v>20</v>
      </c>
      <c r="AZ123" s="216" t="s">
        <v>832</v>
      </c>
      <c r="BA123" s="235" t="s">
        <v>830</v>
      </c>
    </row>
    <row r="124" spans="1:53" s="187" customFormat="1">
      <c r="A124" s="188" t="s">
        <v>827</v>
      </c>
      <c r="B124" s="240">
        <v>4302</v>
      </c>
      <c r="C124" s="240">
        <v>4302</v>
      </c>
      <c r="D124" s="214" t="s">
        <v>1045</v>
      </c>
      <c r="E124" s="191" t="s">
        <v>15</v>
      </c>
      <c r="F124" s="191" t="s">
        <v>59</v>
      </c>
      <c r="G124" s="191"/>
      <c r="H124" s="193">
        <f t="shared" si="16"/>
        <v>7.3</v>
      </c>
      <c r="I124" s="194">
        <v>0.02</v>
      </c>
      <c r="J124" s="194">
        <f t="shared" si="17"/>
        <v>0.6</v>
      </c>
      <c r="K124" s="194">
        <f t="shared" si="18"/>
        <v>7.3</v>
      </c>
      <c r="L124" s="194">
        <v>0.02</v>
      </c>
      <c r="M124" s="194">
        <f t="shared" si="19"/>
        <v>0.6</v>
      </c>
      <c r="N124" s="194">
        <f t="shared" si="20"/>
        <v>0</v>
      </c>
      <c r="O124" s="195"/>
      <c r="P124" s="195"/>
      <c r="Q124" s="195"/>
      <c r="R124" s="195"/>
      <c r="S124" s="195"/>
      <c r="T124" s="195"/>
      <c r="U124" s="195"/>
      <c r="V124" s="195"/>
      <c r="W124" s="195"/>
      <c r="X124" s="195"/>
      <c r="Y124" s="195"/>
      <c r="Z124" s="195"/>
      <c r="AA124" s="195"/>
      <c r="AB124" s="195"/>
      <c r="AC124" s="196"/>
      <c r="AD124" s="196"/>
      <c r="AE124" s="196"/>
      <c r="AF124" s="196"/>
      <c r="AG124" s="196"/>
      <c r="AH124" s="196"/>
      <c r="AI124" s="196"/>
      <c r="AJ124" s="195"/>
      <c r="AK124" s="195"/>
      <c r="AL124" s="195"/>
      <c r="AM124" s="195"/>
      <c r="AN124" s="195"/>
      <c r="AO124" s="195"/>
      <c r="AP124" s="195"/>
      <c r="AQ124" s="195"/>
      <c r="AR124" s="195"/>
      <c r="AS124" s="195"/>
      <c r="AT124" s="195"/>
      <c r="AU124" s="195"/>
      <c r="AV124" s="195"/>
      <c r="AW124" s="195"/>
      <c r="AX124" s="191">
        <v>20</v>
      </c>
      <c r="AY124" s="215">
        <v>20</v>
      </c>
      <c r="AZ124" s="216" t="s">
        <v>1046</v>
      </c>
      <c r="BA124" s="235" t="s">
        <v>855</v>
      </c>
    </row>
    <row r="125" spans="1:53" s="187" customFormat="1">
      <c r="A125" s="188" t="s">
        <v>827</v>
      </c>
      <c r="B125" s="189">
        <v>4331</v>
      </c>
      <c r="C125" s="189">
        <v>4331</v>
      </c>
      <c r="D125" s="190" t="s">
        <v>1047</v>
      </c>
      <c r="E125" s="191" t="s">
        <v>15</v>
      </c>
      <c r="F125" s="191" t="s">
        <v>59</v>
      </c>
      <c r="G125" s="191"/>
      <c r="H125" s="193">
        <f t="shared" si="16"/>
        <v>151.47499999999999</v>
      </c>
      <c r="I125" s="194">
        <v>0.41499999999999998</v>
      </c>
      <c r="J125" s="194">
        <f t="shared" si="17"/>
        <v>12.45</v>
      </c>
      <c r="K125" s="194">
        <f t="shared" si="18"/>
        <v>151.47499999999999</v>
      </c>
      <c r="L125" s="194">
        <v>0.41499999999999998</v>
      </c>
      <c r="M125" s="194">
        <f t="shared" si="19"/>
        <v>12.45</v>
      </c>
      <c r="N125" s="194">
        <f t="shared" si="20"/>
        <v>0</v>
      </c>
      <c r="O125" s="195"/>
      <c r="P125" s="195"/>
      <c r="Q125" s="195"/>
      <c r="R125" s="195"/>
      <c r="S125" s="195"/>
      <c r="T125" s="195"/>
      <c r="U125" s="195"/>
      <c r="V125" s="195"/>
      <c r="W125" s="195"/>
      <c r="X125" s="195"/>
      <c r="Y125" s="195"/>
      <c r="Z125" s="195"/>
      <c r="AA125" s="195"/>
      <c r="AB125" s="195"/>
      <c r="AC125" s="196"/>
      <c r="AD125" s="196"/>
      <c r="AE125" s="196"/>
      <c r="AF125" s="196"/>
      <c r="AG125" s="196"/>
      <c r="AH125" s="196"/>
      <c r="AI125" s="196"/>
      <c r="AJ125" s="195"/>
      <c r="AK125" s="195"/>
      <c r="AL125" s="195"/>
      <c r="AM125" s="195"/>
      <c r="AN125" s="195"/>
      <c r="AO125" s="195"/>
      <c r="AP125" s="195"/>
      <c r="AQ125" s="195"/>
      <c r="AR125" s="195"/>
      <c r="AS125" s="195"/>
      <c r="AT125" s="195"/>
      <c r="AU125" s="195"/>
      <c r="AV125" s="195"/>
      <c r="AW125" s="195"/>
      <c r="AX125" s="191">
        <v>20</v>
      </c>
      <c r="AY125" s="215">
        <v>20</v>
      </c>
      <c r="AZ125" s="207" t="s">
        <v>1048</v>
      </c>
      <c r="BA125" s="188" t="s">
        <v>1049</v>
      </c>
    </row>
    <row r="126" spans="1:53" s="187" customFormat="1">
      <c r="A126" s="188" t="s">
        <v>827</v>
      </c>
      <c r="B126" s="213">
        <v>4345</v>
      </c>
      <c r="C126" s="213">
        <v>4345</v>
      </c>
      <c r="D126" s="214" t="s">
        <v>1050</v>
      </c>
      <c r="E126" s="191" t="s">
        <v>15</v>
      </c>
      <c r="F126" s="191" t="s">
        <v>59</v>
      </c>
      <c r="G126" s="224"/>
      <c r="H126" s="193">
        <f t="shared" si="16"/>
        <v>389.05350000000004</v>
      </c>
      <c r="I126" s="194">
        <v>1.0659000000000001</v>
      </c>
      <c r="J126" s="194">
        <f t="shared" si="17"/>
        <v>31.977000000000004</v>
      </c>
      <c r="K126" s="194">
        <f t="shared" si="18"/>
        <v>389.05350000000004</v>
      </c>
      <c r="L126" s="194">
        <v>1.0659000000000001</v>
      </c>
      <c r="M126" s="194">
        <f t="shared" si="19"/>
        <v>31.977000000000004</v>
      </c>
      <c r="N126" s="194">
        <f t="shared" si="20"/>
        <v>0</v>
      </c>
      <c r="O126" s="195"/>
      <c r="P126" s="195"/>
      <c r="Q126" s="195"/>
      <c r="R126" s="195"/>
      <c r="S126" s="195"/>
      <c r="T126" s="195"/>
      <c r="U126" s="195"/>
      <c r="V126" s="195"/>
      <c r="W126" s="195"/>
      <c r="X126" s="195"/>
      <c r="Y126" s="195"/>
      <c r="Z126" s="195"/>
      <c r="AA126" s="195"/>
      <c r="AB126" s="195"/>
      <c r="AC126" s="196"/>
      <c r="AD126" s="196"/>
      <c r="AE126" s="196"/>
      <c r="AF126" s="196"/>
      <c r="AG126" s="196"/>
      <c r="AH126" s="196"/>
      <c r="AI126" s="196"/>
      <c r="AJ126" s="195"/>
      <c r="AK126" s="195"/>
      <c r="AL126" s="195"/>
      <c r="AM126" s="195"/>
      <c r="AN126" s="195"/>
      <c r="AO126" s="195"/>
      <c r="AP126" s="195"/>
      <c r="AQ126" s="195"/>
      <c r="AR126" s="195"/>
      <c r="AS126" s="195"/>
      <c r="AT126" s="195"/>
      <c r="AU126" s="195"/>
      <c r="AV126" s="195"/>
      <c r="AW126" s="195"/>
      <c r="AX126" s="224" t="s">
        <v>482</v>
      </c>
      <c r="AY126" s="225" t="s">
        <v>482</v>
      </c>
      <c r="AZ126" s="216" t="s">
        <v>907</v>
      </c>
      <c r="BA126" s="223" t="s">
        <v>857</v>
      </c>
    </row>
    <row r="127" spans="1:53" s="187" customFormat="1">
      <c r="A127" s="188" t="s">
        <v>827</v>
      </c>
      <c r="B127" s="219">
        <v>4346</v>
      </c>
      <c r="C127" s="219">
        <v>4346.0050000000001</v>
      </c>
      <c r="D127" s="188" t="s">
        <v>1051</v>
      </c>
      <c r="E127" s="191" t="s">
        <v>15</v>
      </c>
      <c r="F127" s="191" t="s">
        <v>59</v>
      </c>
      <c r="G127" s="218">
        <v>42080</v>
      </c>
      <c r="H127" s="193">
        <f t="shared" si="16"/>
        <v>8.322000000000001</v>
      </c>
      <c r="I127" s="230">
        <v>2.2800000000000001E-2</v>
      </c>
      <c r="J127" s="194">
        <f t="shared" si="17"/>
        <v>0.68400000000000005</v>
      </c>
      <c r="K127" s="194">
        <f t="shared" si="18"/>
        <v>8.8330000000000002</v>
      </c>
      <c r="L127" s="230">
        <v>2.4199999999999999E-2</v>
      </c>
      <c r="M127" s="194">
        <f t="shared" si="19"/>
        <v>0.72599999999999998</v>
      </c>
      <c r="N127" s="194">
        <f t="shared" si="20"/>
        <v>1.3999999999999985E-3</v>
      </c>
      <c r="O127" s="195"/>
      <c r="P127" s="195"/>
      <c r="Q127" s="195"/>
      <c r="R127" s="195"/>
      <c r="S127" s="195"/>
      <c r="T127" s="195"/>
      <c r="U127" s="195"/>
      <c r="V127" s="195"/>
      <c r="W127" s="195"/>
      <c r="X127" s="195"/>
      <c r="Y127" s="195"/>
      <c r="Z127" s="195"/>
      <c r="AA127" s="195"/>
      <c r="AB127" s="195"/>
      <c r="AC127" s="196"/>
      <c r="AD127" s="196"/>
      <c r="AE127" s="196"/>
      <c r="AF127" s="196"/>
      <c r="AG127" s="196"/>
      <c r="AH127" s="196"/>
      <c r="AI127" s="196"/>
      <c r="AJ127" s="195"/>
      <c r="AK127" s="195"/>
      <c r="AL127" s="195"/>
      <c r="AM127" s="195"/>
      <c r="AN127" s="195"/>
      <c r="AO127" s="195"/>
      <c r="AP127" s="195"/>
      <c r="AQ127" s="195"/>
      <c r="AR127" s="195"/>
      <c r="AS127" s="195"/>
      <c r="AT127" s="195"/>
      <c r="AU127" s="195"/>
      <c r="AV127" s="195"/>
      <c r="AW127" s="195"/>
      <c r="AX127" s="191">
        <v>10</v>
      </c>
      <c r="AY127" s="215">
        <v>10</v>
      </c>
      <c r="AZ127" s="207" t="s">
        <v>765</v>
      </c>
      <c r="BA127" s="190" t="s">
        <v>888</v>
      </c>
    </row>
    <row r="128" spans="1:53" s="187" customFormat="1">
      <c r="A128" s="188" t="s">
        <v>827</v>
      </c>
      <c r="B128" s="219">
        <v>4346</v>
      </c>
      <c r="C128" s="219">
        <v>4346.0060000000003</v>
      </c>
      <c r="D128" s="188" t="s">
        <v>1052</v>
      </c>
      <c r="E128" s="191" t="s">
        <v>15</v>
      </c>
      <c r="F128" s="191" t="s">
        <v>59</v>
      </c>
      <c r="G128" s="191" t="s">
        <v>782</v>
      </c>
      <c r="H128" s="193">
        <f t="shared" si="16"/>
        <v>8.8330000000000002</v>
      </c>
      <c r="I128" s="194">
        <v>2.4199999999999999E-2</v>
      </c>
      <c r="J128" s="194">
        <f t="shared" si="17"/>
        <v>0.72599999999999998</v>
      </c>
      <c r="K128" s="194">
        <f t="shared" si="18"/>
        <v>8.8330000000000002</v>
      </c>
      <c r="L128" s="194">
        <v>2.4199999999999999E-2</v>
      </c>
      <c r="M128" s="194">
        <f t="shared" si="19"/>
        <v>0.72599999999999998</v>
      </c>
      <c r="N128" s="194">
        <f t="shared" si="20"/>
        <v>0</v>
      </c>
      <c r="O128" s="195"/>
      <c r="P128" s="195"/>
      <c r="Q128" s="195"/>
      <c r="R128" s="195"/>
      <c r="S128" s="195"/>
      <c r="T128" s="195"/>
      <c r="U128" s="195"/>
      <c r="V128" s="195"/>
      <c r="W128" s="195"/>
      <c r="X128" s="195"/>
      <c r="Y128" s="195"/>
      <c r="Z128" s="195"/>
      <c r="AA128" s="195"/>
      <c r="AB128" s="195"/>
      <c r="AC128" s="196"/>
      <c r="AD128" s="196"/>
      <c r="AE128" s="196"/>
      <c r="AF128" s="196"/>
      <c r="AG128" s="196"/>
      <c r="AH128" s="196"/>
      <c r="AI128" s="196"/>
      <c r="AJ128" s="195"/>
      <c r="AK128" s="195"/>
      <c r="AL128" s="195"/>
      <c r="AM128" s="195"/>
      <c r="AN128" s="195"/>
      <c r="AO128" s="195"/>
      <c r="AP128" s="195"/>
      <c r="AQ128" s="195"/>
      <c r="AR128" s="195"/>
      <c r="AS128" s="195"/>
      <c r="AT128" s="195"/>
      <c r="AU128" s="195"/>
      <c r="AV128" s="195"/>
      <c r="AW128" s="195"/>
      <c r="AX128" s="226" t="s">
        <v>1053</v>
      </c>
      <c r="AY128" s="250" t="s">
        <v>515</v>
      </c>
      <c r="AZ128" s="207" t="s">
        <v>849</v>
      </c>
      <c r="BA128" s="190" t="s">
        <v>833</v>
      </c>
    </row>
    <row r="129" spans="1:53" s="187" customFormat="1">
      <c r="A129" s="188" t="s">
        <v>827</v>
      </c>
      <c r="B129" s="189">
        <v>4398</v>
      </c>
      <c r="C129" s="189">
        <v>4398</v>
      </c>
      <c r="D129" s="190" t="s">
        <v>1054</v>
      </c>
      <c r="E129" s="191" t="s">
        <v>15</v>
      </c>
      <c r="F129" s="191" t="s">
        <v>59</v>
      </c>
      <c r="G129" s="191"/>
      <c r="H129" s="193">
        <f t="shared" si="16"/>
        <v>15.694999999999999</v>
      </c>
      <c r="I129" s="194">
        <v>4.2999999999999997E-2</v>
      </c>
      <c r="J129" s="194">
        <f t="shared" si="17"/>
        <v>1.2899999999999998</v>
      </c>
      <c r="K129" s="194">
        <f t="shared" si="18"/>
        <v>15.694999999999999</v>
      </c>
      <c r="L129" s="194">
        <v>4.2999999999999997E-2</v>
      </c>
      <c r="M129" s="194">
        <f t="shared" si="19"/>
        <v>1.2899999999999998</v>
      </c>
      <c r="N129" s="194">
        <f t="shared" si="20"/>
        <v>0</v>
      </c>
      <c r="O129" s="195"/>
      <c r="P129" s="195"/>
      <c r="Q129" s="195"/>
      <c r="R129" s="195"/>
      <c r="S129" s="195"/>
      <c r="T129" s="195"/>
      <c r="U129" s="195"/>
      <c r="V129" s="195"/>
      <c r="W129" s="195"/>
      <c r="X129" s="195"/>
      <c r="Y129" s="195"/>
      <c r="Z129" s="195"/>
      <c r="AA129" s="195"/>
      <c r="AB129" s="195"/>
      <c r="AC129" s="196"/>
      <c r="AD129" s="196"/>
      <c r="AE129" s="196"/>
      <c r="AF129" s="196"/>
      <c r="AG129" s="196"/>
      <c r="AH129" s="196"/>
      <c r="AI129" s="196"/>
      <c r="AJ129" s="195"/>
      <c r="AK129" s="195"/>
      <c r="AL129" s="195"/>
      <c r="AM129" s="195"/>
      <c r="AN129" s="195"/>
      <c r="AO129" s="195"/>
      <c r="AP129" s="195"/>
      <c r="AQ129" s="195"/>
      <c r="AR129" s="195"/>
      <c r="AS129" s="195"/>
      <c r="AT129" s="195"/>
      <c r="AU129" s="195"/>
      <c r="AV129" s="195"/>
      <c r="AW129" s="195"/>
      <c r="AX129" s="191">
        <v>20</v>
      </c>
      <c r="AY129" s="215">
        <v>20</v>
      </c>
      <c r="AZ129" s="207" t="s">
        <v>835</v>
      </c>
      <c r="BA129" s="208" t="s">
        <v>908</v>
      </c>
    </row>
    <row r="130" spans="1:53" s="187" customFormat="1">
      <c r="A130" s="188" t="s">
        <v>827</v>
      </c>
      <c r="B130" s="238">
        <v>4516</v>
      </c>
      <c r="C130" s="238">
        <v>4516</v>
      </c>
      <c r="D130" s="190" t="s">
        <v>1055</v>
      </c>
      <c r="E130" s="191" t="s">
        <v>15</v>
      </c>
      <c r="F130" s="191" t="s">
        <v>59</v>
      </c>
      <c r="G130" s="212"/>
      <c r="H130" s="193">
        <f t="shared" si="16"/>
        <v>51.684000000000005</v>
      </c>
      <c r="I130" s="194">
        <v>0.1416</v>
      </c>
      <c r="J130" s="194">
        <f t="shared" si="17"/>
        <v>4.2480000000000002</v>
      </c>
      <c r="K130" s="194">
        <f t="shared" si="18"/>
        <v>51.684000000000005</v>
      </c>
      <c r="L130" s="194">
        <v>0.1416</v>
      </c>
      <c r="M130" s="194">
        <f t="shared" si="19"/>
        <v>4.2480000000000002</v>
      </c>
      <c r="N130" s="194">
        <f t="shared" si="20"/>
        <v>0</v>
      </c>
      <c r="O130" s="195"/>
      <c r="P130" s="195"/>
      <c r="Q130" s="195"/>
      <c r="R130" s="195"/>
      <c r="S130" s="195"/>
      <c r="T130" s="195"/>
      <c r="U130" s="195"/>
      <c r="V130" s="195"/>
      <c r="W130" s="195"/>
      <c r="X130" s="195"/>
      <c r="Y130" s="195"/>
      <c r="Z130" s="195"/>
      <c r="AA130" s="195"/>
      <c r="AB130" s="195"/>
      <c r="AC130" s="196"/>
      <c r="AD130" s="196"/>
      <c r="AE130" s="196"/>
      <c r="AF130" s="196"/>
      <c r="AG130" s="196"/>
      <c r="AH130" s="196"/>
      <c r="AI130" s="196"/>
      <c r="AJ130" s="195"/>
      <c r="AK130" s="195"/>
      <c r="AL130" s="195"/>
      <c r="AM130" s="195"/>
      <c r="AN130" s="195"/>
      <c r="AO130" s="195"/>
      <c r="AP130" s="195"/>
      <c r="AQ130" s="195"/>
      <c r="AR130" s="195"/>
      <c r="AS130" s="195"/>
      <c r="AT130" s="195"/>
      <c r="AU130" s="195"/>
      <c r="AV130" s="195"/>
      <c r="AW130" s="195"/>
      <c r="AX130" s="191">
        <v>10</v>
      </c>
      <c r="AY130" s="215" t="s">
        <v>851</v>
      </c>
      <c r="AZ130" s="252" t="s">
        <v>1056</v>
      </c>
      <c r="BA130" s="253" t="s">
        <v>1057</v>
      </c>
    </row>
    <row r="131" spans="1:53" s="187" customFormat="1">
      <c r="A131" s="188" t="s">
        <v>827</v>
      </c>
      <c r="B131" s="189">
        <v>4537</v>
      </c>
      <c r="C131" s="189">
        <v>4537</v>
      </c>
      <c r="D131" s="190" t="s">
        <v>1058</v>
      </c>
      <c r="E131" s="191" t="s">
        <v>15</v>
      </c>
      <c r="F131" s="191" t="s">
        <v>59</v>
      </c>
      <c r="G131" s="191"/>
      <c r="H131" s="193">
        <f t="shared" si="16"/>
        <v>7.4460000000000006</v>
      </c>
      <c r="I131" s="194">
        <v>2.0400000000000001E-2</v>
      </c>
      <c r="J131" s="194">
        <f t="shared" si="17"/>
        <v>0.6120000000000001</v>
      </c>
      <c r="K131" s="194">
        <f t="shared" si="18"/>
        <v>7.4460000000000006</v>
      </c>
      <c r="L131" s="194">
        <v>2.0400000000000001E-2</v>
      </c>
      <c r="M131" s="194">
        <f t="shared" si="19"/>
        <v>0.6120000000000001</v>
      </c>
      <c r="N131" s="194">
        <f t="shared" si="20"/>
        <v>0</v>
      </c>
      <c r="O131" s="195"/>
      <c r="P131" s="195"/>
      <c r="Q131" s="195"/>
      <c r="R131" s="195"/>
      <c r="S131" s="195"/>
      <c r="T131" s="195"/>
      <c r="U131" s="195"/>
      <c r="V131" s="195"/>
      <c r="W131" s="195"/>
      <c r="X131" s="195"/>
      <c r="Y131" s="195"/>
      <c r="Z131" s="195"/>
      <c r="AA131" s="195"/>
      <c r="AB131" s="195"/>
      <c r="AC131" s="196"/>
      <c r="AD131" s="196"/>
      <c r="AE131" s="196"/>
      <c r="AF131" s="196"/>
      <c r="AG131" s="196"/>
      <c r="AH131" s="196"/>
      <c r="AI131" s="196"/>
      <c r="AJ131" s="195"/>
      <c r="AK131" s="195"/>
      <c r="AL131" s="195"/>
      <c r="AM131" s="195"/>
      <c r="AN131" s="195"/>
      <c r="AO131" s="195"/>
      <c r="AP131" s="195"/>
      <c r="AQ131" s="195"/>
      <c r="AR131" s="195"/>
      <c r="AS131" s="195"/>
      <c r="AT131" s="195"/>
      <c r="AU131" s="195"/>
      <c r="AV131" s="195"/>
      <c r="AW131" s="195"/>
      <c r="AX131" s="191">
        <v>10</v>
      </c>
      <c r="AY131" s="215">
        <v>10</v>
      </c>
      <c r="AZ131" s="207" t="s">
        <v>832</v>
      </c>
      <c r="BA131" s="198" t="s">
        <v>868</v>
      </c>
    </row>
    <row r="132" spans="1:53" s="187" customFormat="1">
      <c r="A132" s="188" t="s">
        <v>827</v>
      </c>
      <c r="B132" s="236">
        <v>4551</v>
      </c>
      <c r="C132" s="236">
        <v>4551</v>
      </c>
      <c r="D132" s="231" t="s">
        <v>1059</v>
      </c>
      <c r="E132" s="191" t="s">
        <v>865</v>
      </c>
      <c r="F132" s="191" t="s">
        <v>59</v>
      </c>
      <c r="G132" s="191"/>
      <c r="H132" s="193">
        <f t="shared" si="16"/>
        <v>3.6135000000000002</v>
      </c>
      <c r="I132" s="199">
        <v>9.9000000000000008E-3</v>
      </c>
      <c r="J132" s="194">
        <f t="shared" si="17"/>
        <v>0.29700000000000004</v>
      </c>
      <c r="K132" s="194">
        <f t="shared" si="18"/>
        <v>39.784999999999997</v>
      </c>
      <c r="L132" s="199">
        <v>0.109</v>
      </c>
      <c r="M132" s="194">
        <f t="shared" si="19"/>
        <v>3.27</v>
      </c>
      <c r="N132" s="194">
        <f t="shared" si="20"/>
        <v>9.9099999999999994E-2</v>
      </c>
      <c r="O132" s="195"/>
      <c r="P132" s="195"/>
      <c r="Q132" s="195"/>
      <c r="R132" s="195"/>
      <c r="S132" s="195"/>
      <c r="T132" s="195"/>
      <c r="U132" s="195"/>
      <c r="V132" s="195"/>
      <c r="W132" s="195"/>
      <c r="X132" s="195"/>
      <c r="Y132" s="195"/>
      <c r="Z132" s="195"/>
      <c r="AA132" s="195"/>
      <c r="AB132" s="195"/>
      <c r="AC132" s="196"/>
      <c r="AD132" s="196"/>
      <c r="AE132" s="196"/>
      <c r="AF132" s="196"/>
      <c r="AG132" s="196"/>
      <c r="AH132" s="196"/>
      <c r="AI132" s="196"/>
      <c r="AJ132" s="195"/>
      <c r="AK132" s="195"/>
      <c r="AL132" s="195"/>
      <c r="AM132" s="195"/>
      <c r="AN132" s="195"/>
      <c r="AO132" s="195"/>
      <c r="AP132" s="195"/>
      <c r="AQ132" s="195"/>
      <c r="AR132" s="195"/>
      <c r="AS132" s="195"/>
      <c r="AT132" s="195"/>
      <c r="AU132" s="195"/>
      <c r="AV132" s="195"/>
      <c r="AW132" s="195"/>
      <c r="AX132" s="226">
        <v>10</v>
      </c>
      <c r="AY132" s="250">
        <v>10</v>
      </c>
      <c r="AZ132" s="254" t="s">
        <v>1060</v>
      </c>
      <c r="BA132" s="229" t="s">
        <v>1061</v>
      </c>
    </row>
    <row r="133" spans="1:53" s="187" customFormat="1">
      <c r="A133" s="188" t="s">
        <v>827</v>
      </c>
      <c r="B133" s="219">
        <v>4581</v>
      </c>
      <c r="C133" s="219">
        <v>4581</v>
      </c>
      <c r="D133" s="188" t="s">
        <v>1062</v>
      </c>
      <c r="E133" s="191" t="s">
        <v>15</v>
      </c>
      <c r="F133" s="191" t="s">
        <v>59</v>
      </c>
      <c r="G133" s="191"/>
      <c r="H133" s="193">
        <f t="shared" si="16"/>
        <v>7.0810000000000004</v>
      </c>
      <c r="I133" s="230">
        <v>1.9400000000000001E-2</v>
      </c>
      <c r="J133" s="194">
        <f t="shared" si="17"/>
        <v>0.58200000000000007</v>
      </c>
      <c r="K133" s="194">
        <f t="shared" si="18"/>
        <v>7.0810000000000004</v>
      </c>
      <c r="L133" s="230">
        <v>1.9400000000000001E-2</v>
      </c>
      <c r="M133" s="194">
        <f t="shared" si="19"/>
        <v>0.58200000000000007</v>
      </c>
      <c r="N133" s="194">
        <f t="shared" si="20"/>
        <v>0</v>
      </c>
      <c r="O133" s="195"/>
      <c r="P133" s="195"/>
      <c r="Q133" s="195"/>
      <c r="R133" s="195"/>
      <c r="S133" s="195"/>
      <c r="T133" s="195"/>
      <c r="U133" s="195"/>
      <c r="V133" s="195"/>
      <c r="W133" s="195"/>
      <c r="X133" s="195"/>
      <c r="Y133" s="195"/>
      <c r="Z133" s="195"/>
      <c r="AA133" s="195"/>
      <c r="AB133" s="195"/>
      <c r="AC133" s="196"/>
      <c r="AD133" s="196"/>
      <c r="AE133" s="196"/>
      <c r="AF133" s="196"/>
      <c r="AG133" s="196"/>
      <c r="AH133" s="196"/>
      <c r="AI133" s="196"/>
      <c r="AJ133" s="195"/>
      <c r="AK133" s="195"/>
      <c r="AL133" s="195"/>
      <c r="AM133" s="195"/>
      <c r="AN133" s="195"/>
      <c r="AO133" s="195"/>
      <c r="AP133" s="195"/>
      <c r="AQ133" s="195"/>
      <c r="AR133" s="195"/>
      <c r="AS133" s="195"/>
      <c r="AT133" s="195"/>
      <c r="AU133" s="195"/>
      <c r="AV133" s="195"/>
      <c r="AW133" s="195"/>
      <c r="AX133" s="191">
        <v>20</v>
      </c>
      <c r="AY133" s="215">
        <v>20</v>
      </c>
      <c r="AZ133" s="207" t="s">
        <v>835</v>
      </c>
      <c r="BA133" s="201" t="s">
        <v>830</v>
      </c>
    </row>
    <row r="134" spans="1:53" s="187" customFormat="1">
      <c r="A134" s="188" t="s">
        <v>827</v>
      </c>
      <c r="B134" s="219">
        <v>4610</v>
      </c>
      <c r="C134" s="219">
        <v>4610</v>
      </c>
      <c r="D134" s="190" t="s">
        <v>1063</v>
      </c>
      <c r="E134" s="191" t="s">
        <v>15</v>
      </c>
      <c r="F134" s="191" t="s">
        <v>59</v>
      </c>
      <c r="G134" s="191"/>
      <c r="H134" s="193">
        <f t="shared" si="16"/>
        <v>11.534000000000001</v>
      </c>
      <c r="I134" s="194">
        <v>3.1600000000000003E-2</v>
      </c>
      <c r="J134" s="194">
        <f t="shared" si="17"/>
        <v>0.94800000000000006</v>
      </c>
      <c r="K134" s="193">
        <f t="shared" si="18"/>
        <v>11.534000000000001</v>
      </c>
      <c r="L134" s="194">
        <v>3.1600000000000003E-2</v>
      </c>
      <c r="M134" s="194">
        <f t="shared" si="19"/>
        <v>0.94800000000000006</v>
      </c>
      <c r="N134" s="194">
        <f t="shared" si="20"/>
        <v>0</v>
      </c>
      <c r="O134" s="195"/>
      <c r="P134" s="195"/>
      <c r="Q134" s="195"/>
      <c r="R134" s="195"/>
      <c r="S134" s="195"/>
      <c r="T134" s="195"/>
      <c r="U134" s="195"/>
      <c r="V134" s="195"/>
      <c r="W134" s="195"/>
      <c r="X134" s="195"/>
      <c r="Y134" s="195"/>
      <c r="Z134" s="195"/>
      <c r="AA134" s="195"/>
      <c r="AB134" s="195"/>
      <c r="AC134" s="196"/>
      <c r="AD134" s="196"/>
      <c r="AE134" s="196"/>
      <c r="AF134" s="196"/>
      <c r="AG134" s="196"/>
      <c r="AH134" s="196"/>
      <c r="AI134" s="196"/>
      <c r="AJ134" s="195"/>
      <c r="AK134" s="195"/>
      <c r="AL134" s="195"/>
      <c r="AM134" s="195"/>
      <c r="AN134" s="195"/>
      <c r="AO134" s="195"/>
      <c r="AP134" s="195"/>
      <c r="AQ134" s="195"/>
      <c r="AR134" s="195"/>
      <c r="AS134" s="195"/>
      <c r="AT134" s="195"/>
      <c r="AU134" s="195"/>
      <c r="AV134" s="195"/>
      <c r="AW134" s="195"/>
      <c r="AX134" s="226" t="s">
        <v>515</v>
      </c>
      <c r="AY134" s="249" t="s">
        <v>515</v>
      </c>
      <c r="AZ134" s="207" t="s">
        <v>907</v>
      </c>
      <c r="BA134" s="190" t="s">
        <v>833</v>
      </c>
    </row>
    <row r="135" spans="1:53" s="187" customFormat="1">
      <c r="A135" s="188" t="s">
        <v>827</v>
      </c>
      <c r="B135" s="255">
        <v>4618</v>
      </c>
      <c r="C135" s="255">
        <v>4618</v>
      </c>
      <c r="D135" s="190" t="s">
        <v>1064</v>
      </c>
      <c r="E135" s="191" t="s">
        <v>15</v>
      </c>
      <c r="F135" s="191" t="s">
        <v>59</v>
      </c>
      <c r="G135" s="191"/>
      <c r="H135" s="193">
        <f t="shared" si="16"/>
        <v>5.9494999999999996</v>
      </c>
      <c r="I135" s="199">
        <v>1.6299999999999999E-2</v>
      </c>
      <c r="J135" s="194">
        <f t="shared" si="17"/>
        <v>0.48899999999999993</v>
      </c>
      <c r="K135" s="194">
        <f t="shared" si="18"/>
        <v>10.986499999999999</v>
      </c>
      <c r="L135" s="199">
        <v>3.0099999999999998E-2</v>
      </c>
      <c r="M135" s="194">
        <f t="shared" si="19"/>
        <v>0.90299999999999991</v>
      </c>
      <c r="N135" s="194">
        <f t="shared" si="20"/>
        <v>1.38E-2</v>
      </c>
      <c r="O135" s="195"/>
      <c r="P135" s="195"/>
      <c r="Q135" s="195"/>
      <c r="R135" s="195"/>
      <c r="S135" s="195"/>
      <c r="T135" s="195"/>
      <c r="U135" s="195"/>
      <c r="V135" s="195"/>
      <c r="W135" s="195"/>
      <c r="X135" s="195"/>
      <c r="Y135" s="195"/>
      <c r="Z135" s="195"/>
      <c r="AA135" s="195"/>
      <c r="AB135" s="195"/>
      <c r="AC135" s="196"/>
      <c r="AD135" s="196"/>
      <c r="AE135" s="196"/>
      <c r="AF135" s="196"/>
      <c r="AG135" s="196"/>
      <c r="AH135" s="196"/>
      <c r="AI135" s="196"/>
      <c r="AJ135" s="195"/>
      <c r="AK135" s="195"/>
      <c r="AL135" s="195"/>
      <c r="AM135" s="195"/>
      <c r="AN135" s="195"/>
      <c r="AO135" s="195"/>
      <c r="AP135" s="195"/>
      <c r="AQ135" s="195"/>
      <c r="AR135" s="195"/>
      <c r="AS135" s="195"/>
      <c r="AT135" s="195"/>
      <c r="AU135" s="195"/>
      <c r="AV135" s="195"/>
      <c r="AW135" s="195"/>
      <c r="AX135" s="226">
        <v>10</v>
      </c>
      <c r="AY135" s="249" t="s">
        <v>851</v>
      </c>
      <c r="AZ135" s="256" t="s">
        <v>882</v>
      </c>
      <c r="BA135" s="190" t="s">
        <v>1065</v>
      </c>
    </row>
    <row r="136" spans="1:53" s="187" customFormat="1" ht="17.45" customHeight="1">
      <c r="A136" s="188" t="s">
        <v>827</v>
      </c>
      <c r="B136" s="219">
        <v>4628</v>
      </c>
      <c r="C136" s="219">
        <v>4628</v>
      </c>
      <c r="D136" s="188" t="s">
        <v>1066</v>
      </c>
      <c r="E136" s="191" t="s">
        <v>15</v>
      </c>
      <c r="F136" s="191" t="s">
        <v>59</v>
      </c>
      <c r="G136" s="224"/>
      <c r="H136" s="193">
        <f t="shared" si="16"/>
        <v>38.4345</v>
      </c>
      <c r="I136" s="230">
        <v>0.1053</v>
      </c>
      <c r="J136" s="194">
        <f t="shared" si="17"/>
        <v>3.1590000000000003</v>
      </c>
      <c r="K136" s="194">
        <f t="shared" si="18"/>
        <v>38.4345</v>
      </c>
      <c r="L136" s="230">
        <v>0.1053</v>
      </c>
      <c r="M136" s="194">
        <f t="shared" si="19"/>
        <v>3.1590000000000003</v>
      </c>
      <c r="N136" s="194">
        <f t="shared" si="20"/>
        <v>0</v>
      </c>
      <c r="O136" s="195"/>
      <c r="P136" s="195"/>
      <c r="Q136" s="195"/>
      <c r="R136" s="195"/>
      <c r="S136" s="195"/>
      <c r="T136" s="195"/>
      <c r="U136" s="195"/>
      <c r="V136" s="195"/>
      <c r="W136" s="195"/>
      <c r="X136" s="195"/>
      <c r="Y136" s="195"/>
      <c r="Z136" s="195"/>
      <c r="AA136" s="195"/>
      <c r="AB136" s="195"/>
      <c r="AC136" s="196"/>
      <c r="AD136" s="196"/>
      <c r="AE136" s="196"/>
      <c r="AF136" s="196"/>
      <c r="AG136" s="196"/>
      <c r="AH136" s="196"/>
      <c r="AI136" s="196"/>
      <c r="AJ136" s="195"/>
      <c r="AK136" s="195"/>
      <c r="AL136" s="195"/>
      <c r="AM136" s="195"/>
      <c r="AN136" s="195"/>
      <c r="AO136" s="195"/>
      <c r="AP136" s="195"/>
      <c r="AQ136" s="195"/>
      <c r="AR136" s="195"/>
      <c r="AS136" s="195"/>
      <c r="AT136" s="195"/>
      <c r="AU136" s="195"/>
      <c r="AV136" s="195"/>
      <c r="AW136" s="195"/>
      <c r="AX136" s="191">
        <v>20</v>
      </c>
      <c r="AY136" s="225">
        <v>20</v>
      </c>
      <c r="AZ136" s="207" t="s">
        <v>1067</v>
      </c>
      <c r="BA136" s="190" t="s">
        <v>842</v>
      </c>
    </row>
    <row r="137" spans="1:53" s="187" customFormat="1">
      <c r="A137" s="188" t="s">
        <v>827</v>
      </c>
      <c r="B137" s="243">
        <v>4629</v>
      </c>
      <c r="C137" s="243">
        <v>4629</v>
      </c>
      <c r="D137" s="248" t="s">
        <v>1068</v>
      </c>
      <c r="E137" s="191" t="s">
        <v>15</v>
      </c>
      <c r="F137" s="191" t="s">
        <v>59</v>
      </c>
      <c r="G137" s="212"/>
      <c r="H137" s="193">
        <f t="shared" si="16"/>
        <v>36.353999999999999</v>
      </c>
      <c r="I137" s="199">
        <v>9.9599999999999994E-2</v>
      </c>
      <c r="J137" s="194">
        <f t="shared" si="17"/>
        <v>2.988</v>
      </c>
      <c r="K137" s="194">
        <f t="shared" si="18"/>
        <v>25.696000000000002</v>
      </c>
      <c r="L137" s="199">
        <v>7.0400000000000004E-2</v>
      </c>
      <c r="M137" s="194">
        <f t="shared" si="19"/>
        <v>2.1120000000000001</v>
      </c>
      <c r="N137" s="194">
        <f t="shared" si="20"/>
        <v>-2.919999999999999E-2</v>
      </c>
      <c r="O137" s="195"/>
      <c r="P137" s="195"/>
      <c r="Q137" s="195"/>
      <c r="R137" s="195"/>
      <c r="S137" s="195"/>
      <c r="T137" s="195"/>
      <c r="U137" s="195"/>
      <c r="V137" s="195"/>
      <c r="W137" s="195"/>
      <c r="X137" s="195"/>
      <c r="Y137" s="195"/>
      <c r="Z137" s="195"/>
      <c r="AA137" s="195"/>
      <c r="AB137" s="195"/>
      <c r="AC137" s="196"/>
      <c r="AD137" s="196"/>
      <c r="AE137" s="196"/>
      <c r="AF137" s="196"/>
      <c r="AG137" s="196"/>
      <c r="AH137" s="196"/>
      <c r="AI137" s="196"/>
      <c r="AJ137" s="195"/>
      <c r="AK137" s="195"/>
      <c r="AL137" s="195"/>
      <c r="AM137" s="195"/>
      <c r="AN137" s="195"/>
      <c r="AO137" s="195"/>
      <c r="AP137" s="195"/>
      <c r="AQ137" s="195"/>
      <c r="AR137" s="195"/>
      <c r="AS137" s="195"/>
      <c r="AT137" s="195"/>
      <c r="AU137" s="195"/>
      <c r="AV137" s="195"/>
      <c r="AW137" s="195"/>
      <c r="AX137" s="226">
        <v>20</v>
      </c>
      <c r="AY137" s="250">
        <v>20</v>
      </c>
      <c r="AZ137" s="254" t="s">
        <v>1069</v>
      </c>
      <c r="BA137" s="188" t="s">
        <v>1070</v>
      </c>
    </row>
    <row r="138" spans="1:53" s="187" customFormat="1">
      <c r="A138" s="188" t="s">
        <v>827</v>
      </c>
      <c r="B138" s="257">
        <v>4638</v>
      </c>
      <c r="C138" s="257">
        <v>4638</v>
      </c>
      <c r="D138" s="239" t="s">
        <v>1071</v>
      </c>
      <c r="E138" s="191" t="s">
        <v>15</v>
      </c>
      <c r="F138" s="191" t="s">
        <v>59</v>
      </c>
      <c r="G138" s="191" t="s">
        <v>782</v>
      </c>
      <c r="H138" s="193">
        <f t="shared" si="16"/>
        <v>10.1105</v>
      </c>
      <c r="I138" s="194">
        <v>2.7699999999999999E-2</v>
      </c>
      <c r="J138" s="194">
        <f t="shared" si="17"/>
        <v>0.83099999999999996</v>
      </c>
      <c r="K138" s="194">
        <f t="shared" si="18"/>
        <v>10.804</v>
      </c>
      <c r="L138" s="194">
        <v>2.9600000000000001E-2</v>
      </c>
      <c r="M138" s="194">
        <f t="shared" si="19"/>
        <v>0.88800000000000001</v>
      </c>
      <c r="N138" s="194">
        <f t="shared" si="20"/>
        <v>1.9000000000000024E-3</v>
      </c>
      <c r="O138" s="195"/>
      <c r="P138" s="195"/>
      <c r="Q138" s="195"/>
      <c r="R138" s="195"/>
      <c r="S138" s="195"/>
      <c r="T138" s="195"/>
      <c r="U138" s="195"/>
      <c r="V138" s="195"/>
      <c r="W138" s="195"/>
      <c r="X138" s="195"/>
      <c r="Y138" s="195"/>
      <c r="Z138" s="195"/>
      <c r="AA138" s="195"/>
      <c r="AB138" s="195"/>
      <c r="AC138" s="196"/>
      <c r="AD138" s="196"/>
      <c r="AE138" s="196"/>
      <c r="AF138" s="196"/>
      <c r="AG138" s="196"/>
      <c r="AH138" s="196"/>
      <c r="AI138" s="196"/>
      <c r="AJ138" s="195"/>
      <c r="AK138" s="195"/>
      <c r="AL138" s="195"/>
      <c r="AM138" s="195"/>
      <c r="AN138" s="195"/>
      <c r="AO138" s="195"/>
      <c r="AP138" s="195"/>
      <c r="AQ138" s="195"/>
      <c r="AR138" s="195"/>
      <c r="AS138" s="195"/>
      <c r="AT138" s="195"/>
      <c r="AU138" s="195"/>
      <c r="AV138" s="195"/>
      <c r="AW138" s="195"/>
      <c r="AX138" s="226">
        <v>20</v>
      </c>
      <c r="AY138" s="250">
        <v>20</v>
      </c>
      <c r="AZ138" s="207" t="s">
        <v>835</v>
      </c>
      <c r="BA138" s="190" t="s">
        <v>1072</v>
      </c>
    </row>
    <row r="139" spans="1:53" s="187" customFormat="1">
      <c r="A139" s="188" t="s">
        <v>827</v>
      </c>
      <c r="B139" s="255">
        <v>4745</v>
      </c>
      <c r="C139" s="255">
        <v>4745</v>
      </c>
      <c r="D139" s="190" t="s">
        <v>1073</v>
      </c>
      <c r="E139" s="191" t="s">
        <v>15</v>
      </c>
      <c r="F139" s="191" t="s">
        <v>58</v>
      </c>
      <c r="G139" s="191"/>
      <c r="H139" s="193">
        <f t="shared" si="16"/>
        <v>1.6424999999999998</v>
      </c>
      <c r="I139" s="199">
        <v>4.4999999999999997E-3</v>
      </c>
      <c r="J139" s="194">
        <f t="shared" si="17"/>
        <v>0.13499999999999998</v>
      </c>
      <c r="K139" s="194">
        <f t="shared" si="18"/>
        <v>1.6424999999999998</v>
      </c>
      <c r="L139" s="199">
        <v>4.4999999999999997E-3</v>
      </c>
      <c r="M139" s="194">
        <f t="shared" si="19"/>
        <v>0.13499999999999998</v>
      </c>
      <c r="N139" s="194">
        <f t="shared" si="20"/>
        <v>0</v>
      </c>
      <c r="O139" s="195"/>
      <c r="P139" s="195"/>
      <c r="Q139" s="195"/>
      <c r="R139" s="195"/>
      <c r="S139" s="195"/>
      <c r="T139" s="195"/>
      <c r="U139" s="195"/>
      <c r="V139" s="195"/>
      <c r="W139" s="195"/>
      <c r="X139" s="195"/>
      <c r="Y139" s="195"/>
      <c r="Z139" s="195"/>
      <c r="AA139" s="195"/>
      <c r="AB139" s="195"/>
      <c r="AC139" s="196"/>
      <c r="AD139" s="196"/>
      <c r="AE139" s="196"/>
      <c r="AF139" s="196"/>
      <c r="AG139" s="196"/>
      <c r="AH139" s="196"/>
      <c r="AI139" s="196"/>
      <c r="AJ139" s="195"/>
      <c r="AK139" s="195"/>
      <c r="AL139" s="195"/>
      <c r="AM139" s="195"/>
      <c r="AN139" s="195"/>
      <c r="AO139" s="195"/>
      <c r="AP139" s="195"/>
      <c r="AQ139" s="195"/>
      <c r="AR139" s="195"/>
      <c r="AS139" s="195"/>
      <c r="AT139" s="195"/>
      <c r="AU139" s="195"/>
      <c r="AV139" s="195"/>
      <c r="AW139" s="195"/>
      <c r="AX139" s="226">
        <v>20</v>
      </c>
      <c r="AY139" s="250">
        <v>20</v>
      </c>
      <c r="AZ139" s="256" t="s">
        <v>765</v>
      </c>
      <c r="BA139" s="201" t="s">
        <v>836</v>
      </c>
    </row>
    <row r="140" spans="1:53" s="187" customFormat="1">
      <c r="A140" s="188" t="s">
        <v>827</v>
      </c>
      <c r="B140" s="258">
        <v>4764</v>
      </c>
      <c r="C140" s="258">
        <v>4764</v>
      </c>
      <c r="D140" s="214" t="s">
        <v>1074</v>
      </c>
      <c r="E140" s="191" t="s">
        <v>15</v>
      </c>
      <c r="F140" s="191" t="s">
        <v>59</v>
      </c>
      <c r="G140" s="191"/>
      <c r="H140" s="193">
        <f t="shared" si="16"/>
        <v>17.6295</v>
      </c>
      <c r="I140" s="199">
        <v>4.8300000000000003E-2</v>
      </c>
      <c r="J140" s="194">
        <f t="shared" si="17"/>
        <v>1.4490000000000001</v>
      </c>
      <c r="K140" s="194">
        <f t="shared" si="18"/>
        <v>17.6295</v>
      </c>
      <c r="L140" s="199">
        <v>4.8300000000000003E-2</v>
      </c>
      <c r="M140" s="194">
        <f t="shared" si="19"/>
        <v>1.4490000000000001</v>
      </c>
      <c r="N140" s="194">
        <f t="shared" si="20"/>
        <v>0</v>
      </c>
      <c r="O140" s="195"/>
      <c r="P140" s="195"/>
      <c r="Q140" s="195"/>
      <c r="R140" s="195"/>
      <c r="S140" s="195"/>
      <c r="T140" s="195"/>
      <c r="U140" s="195"/>
      <c r="V140" s="195"/>
      <c r="W140" s="195"/>
      <c r="X140" s="195"/>
      <c r="Y140" s="195"/>
      <c r="Z140" s="195"/>
      <c r="AA140" s="195"/>
      <c r="AB140" s="195"/>
      <c r="AC140" s="196"/>
      <c r="AD140" s="196"/>
      <c r="AE140" s="196"/>
      <c r="AF140" s="196"/>
      <c r="AG140" s="196"/>
      <c r="AH140" s="196"/>
      <c r="AI140" s="196"/>
      <c r="AJ140" s="195"/>
      <c r="AK140" s="195"/>
      <c r="AL140" s="195"/>
      <c r="AM140" s="195"/>
      <c r="AN140" s="195"/>
      <c r="AO140" s="195"/>
      <c r="AP140" s="195"/>
      <c r="AQ140" s="195"/>
      <c r="AR140" s="195"/>
      <c r="AS140" s="195"/>
      <c r="AT140" s="195"/>
      <c r="AU140" s="195"/>
      <c r="AV140" s="195"/>
      <c r="AW140" s="195"/>
      <c r="AX140" s="241">
        <v>20</v>
      </c>
      <c r="AY140" s="249">
        <v>20</v>
      </c>
      <c r="AZ140" s="259" t="s">
        <v>1075</v>
      </c>
      <c r="BA140" s="235" t="s">
        <v>830</v>
      </c>
    </row>
    <row r="141" spans="1:53" s="187" customFormat="1">
      <c r="A141" s="188" t="s">
        <v>827</v>
      </c>
      <c r="B141" s="258">
        <v>4766</v>
      </c>
      <c r="C141" s="258">
        <v>4766</v>
      </c>
      <c r="D141" s="214" t="s">
        <v>1076</v>
      </c>
      <c r="E141" s="191" t="s">
        <v>15</v>
      </c>
      <c r="F141" s="191" t="s">
        <v>59</v>
      </c>
      <c r="G141" s="191"/>
      <c r="H141" s="193">
        <f t="shared" si="16"/>
        <v>26.462499999999999</v>
      </c>
      <c r="I141" s="199">
        <v>7.2499999999999995E-2</v>
      </c>
      <c r="J141" s="194">
        <f t="shared" si="17"/>
        <v>2.1749999999999998</v>
      </c>
      <c r="K141" s="194">
        <f t="shared" si="18"/>
        <v>30.842500000000001</v>
      </c>
      <c r="L141" s="199">
        <v>8.4500000000000006E-2</v>
      </c>
      <c r="M141" s="194">
        <f t="shared" si="19"/>
        <v>2.5350000000000001</v>
      </c>
      <c r="N141" s="194">
        <f t="shared" si="20"/>
        <v>1.2000000000000011E-2</v>
      </c>
      <c r="O141" s="195"/>
      <c r="P141" s="195"/>
      <c r="Q141" s="195"/>
      <c r="R141" s="195"/>
      <c r="S141" s="195"/>
      <c r="T141" s="195"/>
      <c r="U141" s="195"/>
      <c r="V141" s="195"/>
      <c r="W141" s="195"/>
      <c r="X141" s="195"/>
      <c r="Y141" s="195"/>
      <c r="Z141" s="195"/>
      <c r="AA141" s="195"/>
      <c r="AB141" s="195"/>
      <c r="AC141" s="196"/>
      <c r="AD141" s="196"/>
      <c r="AE141" s="196"/>
      <c r="AF141" s="196"/>
      <c r="AG141" s="196"/>
      <c r="AH141" s="196"/>
      <c r="AI141" s="196"/>
      <c r="AJ141" s="195"/>
      <c r="AK141" s="195"/>
      <c r="AL141" s="195"/>
      <c r="AM141" s="195"/>
      <c r="AN141" s="195"/>
      <c r="AO141" s="195"/>
      <c r="AP141" s="195"/>
      <c r="AQ141" s="195"/>
      <c r="AR141" s="195"/>
      <c r="AS141" s="195"/>
      <c r="AT141" s="195"/>
      <c r="AU141" s="195"/>
      <c r="AV141" s="195"/>
      <c r="AW141" s="195"/>
      <c r="AX141" s="226">
        <v>20</v>
      </c>
      <c r="AY141" s="226">
        <v>20</v>
      </c>
      <c r="AZ141" s="259" t="s">
        <v>1077</v>
      </c>
      <c r="BA141" s="235" t="s">
        <v>1078</v>
      </c>
    </row>
    <row r="142" spans="1:53" s="187" customFormat="1">
      <c r="A142" s="188" t="s">
        <v>827</v>
      </c>
      <c r="B142" s="258">
        <v>4819</v>
      </c>
      <c r="C142" s="258">
        <v>4819</v>
      </c>
      <c r="D142" s="214" t="s">
        <v>1079</v>
      </c>
      <c r="E142" s="191" t="s">
        <v>15</v>
      </c>
      <c r="F142" s="191" t="s">
        <v>59</v>
      </c>
      <c r="G142" s="191"/>
      <c r="H142" s="193">
        <f t="shared" si="16"/>
        <v>17.6295</v>
      </c>
      <c r="I142" s="199">
        <v>4.8300000000000003E-2</v>
      </c>
      <c r="J142" s="194">
        <f t="shared" si="17"/>
        <v>1.4490000000000001</v>
      </c>
      <c r="K142" s="194">
        <f t="shared" si="18"/>
        <v>17.6295</v>
      </c>
      <c r="L142" s="199">
        <v>4.8300000000000003E-2</v>
      </c>
      <c r="M142" s="194">
        <f t="shared" si="19"/>
        <v>1.4490000000000001</v>
      </c>
      <c r="N142" s="194">
        <f t="shared" si="20"/>
        <v>0</v>
      </c>
      <c r="O142" s="195"/>
      <c r="P142" s="195"/>
      <c r="Q142" s="195"/>
      <c r="R142" s="195"/>
      <c r="S142" s="195"/>
      <c r="T142" s="195"/>
      <c r="U142" s="195"/>
      <c r="V142" s="195"/>
      <c r="W142" s="195"/>
      <c r="X142" s="195"/>
      <c r="Y142" s="195"/>
      <c r="Z142" s="195"/>
      <c r="AA142" s="195"/>
      <c r="AB142" s="195"/>
      <c r="AC142" s="196"/>
      <c r="AD142" s="196"/>
      <c r="AE142" s="196"/>
      <c r="AF142" s="196"/>
      <c r="AG142" s="196"/>
      <c r="AH142" s="196"/>
      <c r="AI142" s="196"/>
      <c r="AJ142" s="195"/>
      <c r="AK142" s="195"/>
      <c r="AL142" s="195"/>
      <c r="AM142" s="195"/>
      <c r="AN142" s="195"/>
      <c r="AO142" s="195"/>
      <c r="AP142" s="195"/>
      <c r="AQ142" s="195"/>
      <c r="AR142" s="195"/>
      <c r="AS142" s="195"/>
      <c r="AT142" s="195"/>
      <c r="AU142" s="195"/>
      <c r="AV142" s="195"/>
      <c r="AW142" s="195"/>
      <c r="AX142" s="226">
        <v>20</v>
      </c>
      <c r="AY142" s="226" t="s">
        <v>851</v>
      </c>
      <c r="AZ142" s="259" t="s">
        <v>765</v>
      </c>
      <c r="BA142" s="235" t="s">
        <v>1080</v>
      </c>
    </row>
    <row r="143" spans="1:53" s="187" customFormat="1">
      <c r="A143" s="188" t="s">
        <v>827</v>
      </c>
      <c r="B143" s="258">
        <v>4835</v>
      </c>
      <c r="C143" s="258">
        <v>4835</v>
      </c>
      <c r="D143" s="214" t="s">
        <v>1081</v>
      </c>
      <c r="E143" s="191" t="s">
        <v>15</v>
      </c>
      <c r="F143" s="191" t="s">
        <v>58</v>
      </c>
      <c r="G143" s="218">
        <v>42152</v>
      </c>
      <c r="H143" s="193">
        <f t="shared" si="16"/>
        <v>4.8544999999999998</v>
      </c>
      <c r="I143" s="199">
        <v>1.3299999999999999E-2</v>
      </c>
      <c r="J143" s="194">
        <f t="shared" si="17"/>
        <v>0.39899999999999997</v>
      </c>
      <c r="K143" s="194">
        <f t="shared" si="18"/>
        <v>4.8544999999999998</v>
      </c>
      <c r="L143" s="199">
        <v>1.3299999999999999E-2</v>
      </c>
      <c r="M143" s="194">
        <f t="shared" si="19"/>
        <v>0.39899999999999997</v>
      </c>
      <c r="N143" s="194">
        <f t="shared" si="20"/>
        <v>0</v>
      </c>
      <c r="O143" s="195"/>
      <c r="P143" s="195"/>
      <c r="Q143" s="195"/>
      <c r="R143" s="195"/>
      <c r="S143" s="195"/>
      <c r="T143" s="195"/>
      <c r="U143" s="195"/>
      <c r="V143" s="195"/>
      <c r="W143" s="195"/>
      <c r="X143" s="195"/>
      <c r="Y143" s="195"/>
      <c r="Z143" s="195"/>
      <c r="AA143" s="195"/>
      <c r="AB143" s="195"/>
      <c r="AC143" s="196"/>
      <c r="AD143" s="196"/>
      <c r="AE143" s="196"/>
      <c r="AF143" s="196"/>
      <c r="AG143" s="196"/>
      <c r="AH143" s="196"/>
      <c r="AI143" s="196"/>
      <c r="AJ143" s="195"/>
      <c r="AK143" s="195"/>
      <c r="AL143" s="195"/>
      <c r="AM143" s="195"/>
      <c r="AN143" s="195"/>
      <c r="AO143" s="195"/>
      <c r="AP143" s="195"/>
      <c r="AQ143" s="195"/>
      <c r="AR143" s="195"/>
      <c r="AS143" s="195"/>
      <c r="AT143" s="195"/>
      <c r="AU143" s="195"/>
      <c r="AV143" s="195"/>
      <c r="AW143" s="195"/>
      <c r="AX143" s="226">
        <v>20</v>
      </c>
      <c r="AY143" s="250">
        <v>20</v>
      </c>
      <c r="AZ143" s="259" t="s">
        <v>835</v>
      </c>
      <c r="BA143" s="235" t="s">
        <v>888</v>
      </c>
    </row>
    <row r="144" spans="1:53" s="187" customFormat="1">
      <c r="A144" s="188" t="s">
        <v>827</v>
      </c>
      <c r="B144" s="258">
        <v>4912</v>
      </c>
      <c r="C144" s="258">
        <v>4912</v>
      </c>
      <c r="D144" s="214" t="s">
        <v>1082</v>
      </c>
      <c r="E144" s="191" t="s">
        <v>15</v>
      </c>
      <c r="F144" s="191" t="s">
        <v>56</v>
      </c>
      <c r="G144" s="191"/>
      <c r="H144" s="193">
        <f t="shared" si="16"/>
        <v>12785.95</v>
      </c>
      <c r="I144" s="199">
        <v>35.03</v>
      </c>
      <c r="J144" s="194">
        <f t="shared" si="17"/>
        <v>1050.9000000000001</v>
      </c>
      <c r="K144" s="194">
        <f t="shared" si="18"/>
        <v>12785.95</v>
      </c>
      <c r="L144" s="199">
        <v>35.03</v>
      </c>
      <c r="M144" s="194">
        <f t="shared" si="19"/>
        <v>1050.9000000000001</v>
      </c>
      <c r="N144" s="194">
        <f t="shared" si="20"/>
        <v>0</v>
      </c>
      <c r="O144" s="195"/>
      <c r="P144" s="195"/>
      <c r="Q144" s="195"/>
      <c r="R144" s="195"/>
      <c r="S144" s="195"/>
      <c r="T144" s="195"/>
      <c r="U144" s="195"/>
      <c r="V144" s="195"/>
      <c r="W144" s="195"/>
      <c r="X144" s="195"/>
      <c r="Y144" s="195"/>
      <c r="Z144" s="195"/>
      <c r="AA144" s="195"/>
      <c r="AB144" s="195"/>
      <c r="AC144" s="196"/>
      <c r="AD144" s="196"/>
      <c r="AE144" s="196"/>
      <c r="AF144" s="196"/>
      <c r="AG144" s="196"/>
      <c r="AH144" s="196"/>
      <c r="AI144" s="196"/>
      <c r="AJ144" s="195"/>
      <c r="AK144" s="195"/>
      <c r="AL144" s="195"/>
      <c r="AM144" s="195"/>
      <c r="AN144" s="195"/>
      <c r="AO144" s="195"/>
      <c r="AP144" s="195"/>
      <c r="AQ144" s="195"/>
      <c r="AR144" s="195"/>
      <c r="AS144" s="195"/>
      <c r="AT144" s="195"/>
      <c r="AU144" s="195"/>
      <c r="AV144" s="195"/>
      <c r="AW144" s="195"/>
      <c r="AX144" s="226" t="s">
        <v>515</v>
      </c>
      <c r="AY144" s="226" t="s">
        <v>515</v>
      </c>
      <c r="AZ144" s="259" t="s">
        <v>1083</v>
      </c>
      <c r="BA144" s="235" t="s">
        <v>1084</v>
      </c>
    </row>
    <row r="145" spans="1:53" s="187" customFormat="1">
      <c r="A145" s="188" t="s">
        <v>827</v>
      </c>
      <c r="B145" s="258">
        <v>5008</v>
      </c>
      <c r="C145" s="258">
        <v>5008</v>
      </c>
      <c r="D145" s="214" t="s">
        <v>1085</v>
      </c>
      <c r="E145" s="191" t="s">
        <v>1086</v>
      </c>
      <c r="F145" s="191" t="s">
        <v>59</v>
      </c>
      <c r="G145" s="191"/>
      <c r="H145" s="193">
        <f t="shared" si="16"/>
        <v>84.168999999999997</v>
      </c>
      <c r="I145" s="199">
        <v>0.2306</v>
      </c>
      <c r="J145" s="194">
        <f t="shared" si="17"/>
        <v>6.9180000000000001</v>
      </c>
      <c r="K145" s="194">
        <f t="shared" si="18"/>
        <v>84.168999999999997</v>
      </c>
      <c r="L145" s="199">
        <v>0.2306</v>
      </c>
      <c r="M145" s="194">
        <f t="shared" si="19"/>
        <v>6.9180000000000001</v>
      </c>
      <c r="N145" s="194">
        <f t="shared" si="20"/>
        <v>0</v>
      </c>
      <c r="O145" s="195"/>
      <c r="P145" s="195"/>
      <c r="Q145" s="195"/>
      <c r="R145" s="195"/>
      <c r="S145" s="195"/>
      <c r="T145" s="195"/>
      <c r="U145" s="195"/>
      <c r="V145" s="195"/>
      <c r="W145" s="195"/>
      <c r="X145" s="195"/>
      <c r="Y145" s="195"/>
      <c r="Z145" s="195"/>
      <c r="AA145" s="195"/>
      <c r="AB145" s="195"/>
      <c r="AC145" s="196"/>
      <c r="AD145" s="196"/>
      <c r="AE145" s="196"/>
      <c r="AF145" s="196"/>
      <c r="AG145" s="196"/>
      <c r="AH145" s="196"/>
      <c r="AI145" s="196"/>
      <c r="AJ145" s="195"/>
      <c r="AK145" s="195"/>
      <c r="AL145" s="195"/>
      <c r="AM145" s="195"/>
      <c r="AN145" s="195"/>
      <c r="AO145" s="195"/>
      <c r="AP145" s="195"/>
      <c r="AQ145" s="195"/>
      <c r="AR145" s="195"/>
      <c r="AS145" s="195"/>
      <c r="AT145" s="195"/>
      <c r="AU145" s="195"/>
      <c r="AV145" s="195"/>
      <c r="AW145" s="195"/>
      <c r="AX145" s="226">
        <v>20</v>
      </c>
      <c r="AY145" s="250">
        <v>20</v>
      </c>
      <c r="AZ145" s="259" t="s">
        <v>835</v>
      </c>
      <c r="BA145" s="235" t="s">
        <v>833</v>
      </c>
    </row>
    <row r="146" spans="1:53" s="187" customFormat="1">
      <c r="A146" s="188" t="s">
        <v>827</v>
      </c>
      <c r="B146" s="258">
        <v>5015</v>
      </c>
      <c r="C146" s="258">
        <v>5015</v>
      </c>
      <c r="D146" s="214" t="s">
        <v>1087</v>
      </c>
      <c r="E146" s="191" t="s">
        <v>15</v>
      </c>
      <c r="F146" s="191" t="s">
        <v>59</v>
      </c>
      <c r="G146" s="260">
        <v>42123</v>
      </c>
      <c r="H146" s="193">
        <f t="shared" si="16"/>
        <v>191.18700000000001</v>
      </c>
      <c r="I146" s="199">
        <v>0.52380000000000004</v>
      </c>
      <c r="J146" s="194">
        <f t="shared" si="17"/>
        <v>15.714000000000002</v>
      </c>
      <c r="K146" s="194">
        <f t="shared" si="18"/>
        <v>191.18700000000001</v>
      </c>
      <c r="L146" s="199">
        <v>0.52380000000000004</v>
      </c>
      <c r="M146" s="194">
        <f t="shared" si="19"/>
        <v>15.714000000000002</v>
      </c>
      <c r="N146" s="194">
        <f t="shared" si="20"/>
        <v>0</v>
      </c>
      <c r="O146" s="195"/>
      <c r="P146" s="195"/>
      <c r="Q146" s="195"/>
      <c r="R146" s="195"/>
      <c r="S146" s="195"/>
      <c r="T146" s="195"/>
      <c r="U146" s="195"/>
      <c r="V146" s="195"/>
      <c r="W146" s="195"/>
      <c r="X146" s="195"/>
      <c r="Y146" s="195"/>
      <c r="Z146" s="195"/>
      <c r="AA146" s="195"/>
      <c r="AB146" s="195"/>
      <c r="AC146" s="196"/>
      <c r="AD146" s="196"/>
      <c r="AE146" s="196"/>
      <c r="AF146" s="196"/>
      <c r="AG146" s="196"/>
      <c r="AH146" s="196"/>
      <c r="AI146" s="196"/>
      <c r="AJ146" s="195"/>
      <c r="AK146" s="195"/>
      <c r="AL146" s="195"/>
      <c r="AM146" s="195"/>
      <c r="AN146" s="195"/>
      <c r="AO146" s="195"/>
      <c r="AP146" s="195"/>
      <c r="AQ146" s="195"/>
      <c r="AR146" s="195"/>
      <c r="AS146" s="195"/>
      <c r="AT146" s="195"/>
      <c r="AU146" s="195"/>
      <c r="AV146" s="195"/>
      <c r="AW146" s="195"/>
      <c r="AX146" s="241">
        <v>20</v>
      </c>
      <c r="AY146" s="249">
        <v>20</v>
      </c>
      <c r="AZ146" s="259" t="s">
        <v>765</v>
      </c>
      <c r="BA146" s="214" t="s">
        <v>888</v>
      </c>
    </row>
    <row r="147" spans="1:53" s="187" customFormat="1">
      <c r="A147" s="188" t="s">
        <v>827</v>
      </c>
      <c r="B147" s="255">
        <v>5120</v>
      </c>
      <c r="C147" s="255">
        <v>5120</v>
      </c>
      <c r="D147" s="190" t="s">
        <v>1088</v>
      </c>
      <c r="E147" s="191" t="s">
        <v>15</v>
      </c>
      <c r="F147" s="191" t="s">
        <v>59</v>
      </c>
      <c r="G147" s="191"/>
      <c r="H147" s="193">
        <f t="shared" si="16"/>
        <v>101.6525</v>
      </c>
      <c r="I147" s="199">
        <v>0.27850000000000003</v>
      </c>
      <c r="J147" s="194">
        <f t="shared" si="17"/>
        <v>8.3550000000000004</v>
      </c>
      <c r="K147" s="194">
        <f t="shared" si="18"/>
        <v>101.6525</v>
      </c>
      <c r="L147" s="199">
        <v>0.27850000000000003</v>
      </c>
      <c r="M147" s="194">
        <f t="shared" si="19"/>
        <v>8.3550000000000004</v>
      </c>
      <c r="N147" s="194">
        <f t="shared" si="20"/>
        <v>0</v>
      </c>
      <c r="O147" s="195"/>
      <c r="P147" s="195"/>
      <c r="Q147" s="195"/>
      <c r="R147" s="195"/>
      <c r="S147" s="195"/>
      <c r="T147" s="195"/>
      <c r="U147" s="195"/>
      <c r="V147" s="195"/>
      <c r="W147" s="195"/>
      <c r="X147" s="195"/>
      <c r="Y147" s="195"/>
      <c r="Z147" s="195"/>
      <c r="AA147" s="195"/>
      <c r="AB147" s="195"/>
      <c r="AC147" s="196"/>
      <c r="AD147" s="196"/>
      <c r="AE147" s="196"/>
      <c r="AF147" s="196"/>
      <c r="AG147" s="196"/>
      <c r="AH147" s="196"/>
      <c r="AI147" s="196"/>
      <c r="AJ147" s="195"/>
      <c r="AK147" s="195"/>
      <c r="AL147" s="195"/>
      <c r="AM147" s="195"/>
      <c r="AN147" s="195"/>
      <c r="AO147" s="195"/>
      <c r="AP147" s="195"/>
      <c r="AQ147" s="195"/>
      <c r="AR147" s="195"/>
      <c r="AS147" s="195"/>
      <c r="AT147" s="195"/>
      <c r="AU147" s="195"/>
      <c r="AV147" s="195"/>
      <c r="AW147" s="195"/>
      <c r="AX147" s="226">
        <v>20</v>
      </c>
      <c r="AY147" s="250">
        <v>20</v>
      </c>
      <c r="AZ147" s="256" t="s">
        <v>1089</v>
      </c>
      <c r="BA147" s="190" t="s">
        <v>878</v>
      </c>
    </row>
    <row r="148" spans="1:53" s="187" customFormat="1">
      <c r="A148" s="188" t="s">
        <v>827</v>
      </c>
      <c r="B148" s="255">
        <v>5123</v>
      </c>
      <c r="C148" s="255">
        <v>5123</v>
      </c>
      <c r="D148" s="190" t="s">
        <v>1090</v>
      </c>
      <c r="E148" s="191" t="s">
        <v>15</v>
      </c>
      <c r="F148" s="191" t="s">
        <v>59</v>
      </c>
      <c r="G148" s="191"/>
      <c r="H148" s="193">
        <f t="shared" si="16"/>
        <v>7.2635000000000005</v>
      </c>
      <c r="I148" s="199">
        <v>1.9900000000000001E-2</v>
      </c>
      <c r="J148" s="194">
        <f t="shared" si="17"/>
        <v>0.59699999999999998</v>
      </c>
      <c r="K148" s="194">
        <f t="shared" si="18"/>
        <v>7.2635000000000005</v>
      </c>
      <c r="L148" s="199">
        <v>1.9900000000000001E-2</v>
      </c>
      <c r="M148" s="194">
        <f t="shared" si="19"/>
        <v>0.59699999999999998</v>
      </c>
      <c r="N148" s="194">
        <f t="shared" si="20"/>
        <v>0</v>
      </c>
      <c r="O148" s="195"/>
      <c r="P148" s="195"/>
      <c r="Q148" s="195"/>
      <c r="R148" s="195"/>
      <c r="S148" s="195"/>
      <c r="T148" s="195"/>
      <c r="U148" s="195"/>
      <c r="V148" s="195"/>
      <c r="W148" s="195"/>
      <c r="X148" s="195"/>
      <c r="Y148" s="195"/>
      <c r="Z148" s="195"/>
      <c r="AA148" s="195"/>
      <c r="AB148" s="195"/>
      <c r="AC148" s="196"/>
      <c r="AD148" s="196"/>
      <c r="AE148" s="196"/>
      <c r="AF148" s="196"/>
      <c r="AG148" s="196"/>
      <c r="AH148" s="196"/>
      <c r="AI148" s="196"/>
      <c r="AJ148" s="195"/>
      <c r="AK148" s="195"/>
      <c r="AL148" s="195"/>
      <c r="AM148" s="195"/>
      <c r="AN148" s="195"/>
      <c r="AO148" s="195"/>
      <c r="AP148" s="195"/>
      <c r="AQ148" s="195"/>
      <c r="AR148" s="195"/>
      <c r="AS148" s="195"/>
      <c r="AT148" s="195"/>
      <c r="AU148" s="195"/>
      <c r="AV148" s="195"/>
      <c r="AW148" s="195"/>
      <c r="AX148" s="226">
        <v>20</v>
      </c>
      <c r="AY148" s="226">
        <v>20</v>
      </c>
      <c r="AZ148" s="256" t="s">
        <v>919</v>
      </c>
      <c r="BA148" s="190" t="s">
        <v>830</v>
      </c>
    </row>
    <row r="149" spans="1:53" s="187" customFormat="1">
      <c r="A149" s="188" t="s">
        <v>827</v>
      </c>
      <c r="B149" s="255">
        <v>5128</v>
      </c>
      <c r="C149" s="255">
        <v>5128</v>
      </c>
      <c r="D149" s="190" t="s">
        <v>1091</v>
      </c>
      <c r="E149" s="191" t="s">
        <v>15</v>
      </c>
      <c r="F149" s="191" t="s">
        <v>59</v>
      </c>
      <c r="G149" s="191"/>
      <c r="H149" s="193">
        <f t="shared" si="16"/>
        <v>13.030500000000002</v>
      </c>
      <c r="I149" s="199">
        <v>3.5700000000000003E-2</v>
      </c>
      <c r="J149" s="194">
        <f t="shared" si="17"/>
        <v>1.0710000000000002</v>
      </c>
      <c r="K149" s="194">
        <f t="shared" si="18"/>
        <v>13.030500000000002</v>
      </c>
      <c r="L149" s="199">
        <v>3.5700000000000003E-2</v>
      </c>
      <c r="M149" s="194">
        <f t="shared" si="19"/>
        <v>1.0710000000000002</v>
      </c>
      <c r="N149" s="194">
        <f t="shared" si="20"/>
        <v>0</v>
      </c>
      <c r="O149" s="195"/>
      <c r="P149" s="195"/>
      <c r="Q149" s="195"/>
      <c r="R149" s="195"/>
      <c r="S149" s="195"/>
      <c r="T149" s="195"/>
      <c r="U149" s="195"/>
      <c r="V149" s="195"/>
      <c r="W149" s="195"/>
      <c r="X149" s="195"/>
      <c r="Y149" s="195"/>
      <c r="Z149" s="195"/>
      <c r="AA149" s="195"/>
      <c r="AB149" s="195"/>
      <c r="AC149" s="196"/>
      <c r="AD149" s="196"/>
      <c r="AE149" s="196"/>
      <c r="AF149" s="196"/>
      <c r="AG149" s="196"/>
      <c r="AH149" s="196"/>
      <c r="AI149" s="196"/>
      <c r="AJ149" s="195"/>
      <c r="AK149" s="195"/>
      <c r="AL149" s="195"/>
      <c r="AM149" s="195"/>
      <c r="AN149" s="195"/>
      <c r="AO149" s="195"/>
      <c r="AP149" s="195"/>
      <c r="AQ149" s="195"/>
      <c r="AR149" s="195"/>
      <c r="AS149" s="195"/>
      <c r="AT149" s="195"/>
      <c r="AU149" s="195"/>
      <c r="AV149" s="195"/>
      <c r="AW149" s="195"/>
      <c r="AX149" s="226">
        <v>20</v>
      </c>
      <c r="AY149" s="250">
        <v>20</v>
      </c>
      <c r="AZ149" s="256" t="s">
        <v>765</v>
      </c>
      <c r="BA149" s="190" t="s">
        <v>1092</v>
      </c>
    </row>
    <row r="150" spans="1:53" s="187" customFormat="1">
      <c r="A150" s="188" t="s">
        <v>827</v>
      </c>
      <c r="B150" s="255">
        <v>5129</v>
      </c>
      <c r="C150" s="255">
        <v>5129</v>
      </c>
      <c r="D150" s="205" t="s">
        <v>1093</v>
      </c>
      <c r="E150" s="191" t="s">
        <v>15</v>
      </c>
      <c r="F150" s="191" t="s">
        <v>59</v>
      </c>
      <c r="G150" s="191"/>
      <c r="H150" s="193">
        <f t="shared" si="16"/>
        <v>9.125</v>
      </c>
      <c r="I150" s="199">
        <v>2.5000000000000001E-2</v>
      </c>
      <c r="J150" s="194">
        <f t="shared" si="17"/>
        <v>0.75</v>
      </c>
      <c r="K150" s="194">
        <f t="shared" si="18"/>
        <v>9.125</v>
      </c>
      <c r="L150" s="199">
        <v>2.5000000000000001E-2</v>
      </c>
      <c r="M150" s="194">
        <f t="shared" si="19"/>
        <v>0.75</v>
      </c>
      <c r="N150" s="194">
        <f t="shared" si="20"/>
        <v>0</v>
      </c>
      <c r="O150" s="195"/>
      <c r="P150" s="195"/>
      <c r="Q150" s="195"/>
      <c r="R150" s="195"/>
      <c r="S150" s="195"/>
      <c r="T150" s="195"/>
      <c r="U150" s="195"/>
      <c r="V150" s="195"/>
      <c r="W150" s="195"/>
      <c r="X150" s="195"/>
      <c r="Y150" s="195"/>
      <c r="Z150" s="195"/>
      <c r="AA150" s="195"/>
      <c r="AB150" s="195"/>
      <c r="AC150" s="196"/>
      <c r="AD150" s="196"/>
      <c r="AE150" s="196"/>
      <c r="AF150" s="196"/>
      <c r="AG150" s="196"/>
      <c r="AH150" s="196"/>
      <c r="AI150" s="196"/>
      <c r="AJ150" s="195"/>
      <c r="AK150" s="195"/>
      <c r="AL150" s="195"/>
      <c r="AM150" s="195"/>
      <c r="AN150" s="195"/>
      <c r="AO150" s="195"/>
      <c r="AP150" s="195"/>
      <c r="AQ150" s="195"/>
      <c r="AR150" s="195"/>
      <c r="AS150" s="195"/>
      <c r="AT150" s="195"/>
      <c r="AU150" s="195"/>
      <c r="AV150" s="195"/>
      <c r="AW150" s="195"/>
      <c r="AX150" s="226">
        <v>20</v>
      </c>
      <c r="AY150" s="250">
        <v>20</v>
      </c>
      <c r="AZ150" s="256" t="s">
        <v>765</v>
      </c>
      <c r="BA150" s="190" t="s">
        <v>830</v>
      </c>
    </row>
    <row r="151" spans="1:53" s="187" customFormat="1">
      <c r="A151" s="188" t="s">
        <v>827</v>
      </c>
      <c r="B151" s="261">
        <v>5198</v>
      </c>
      <c r="C151" s="261">
        <v>5198</v>
      </c>
      <c r="D151" s="190" t="s">
        <v>1094</v>
      </c>
      <c r="E151" s="191" t="s">
        <v>15</v>
      </c>
      <c r="F151" s="191" t="s">
        <v>59</v>
      </c>
      <c r="G151" s="262">
        <v>41963</v>
      </c>
      <c r="H151" s="193">
        <f t="shared" si="16"/>
        <v>9.3440000000000012</v>
      </c>
      <c r="I151" s="199">
        <v>2.5600000000000001E-2</v>
      </c>
      <c r="J151" s="194">
        <f t="shared" si="17"/>
        <v>0.76800000000000002</v>
      </c>
      <c r="K151" s="194">
        <f t="shared" si="18"/>
        <v>9.5265000000000004</v>
      </c>
      <c r="L151" s="199">
        <v>2.6100000000000002E-2</v>
      </c>
      <c r="M151" s="194">
        <f t="shared" si="19"/>
        <v>0.78300000000000003</v>
      </c>
      <c r="N151" s="194">
        <f t="shared" si="20"/>
        <v>5.0000000000000044E-4</v>
      </c>
      <c r="O151" s="195"/>
      <c r="P151" s="195"/>
      <c r="Q151" s="195"/>
      <c r="R151" s="195"/>
      <c r="S151" s="195"/>
      <c r="T151" s="195"/>
      <c r="U151" s="195"/>
      <c r="V151" s="195"/>
      <c r="W151" s="195"/>
      <c r="X151" s="195"/>
      <c r="Y151" s="195"/>
      <c r="Z151" s="195"/>
      <c r="AA151" s="195"/>
      <c r="AB151" s="195"/>
      <c r="AC151" s="196"/>
      <c r="AD151" s="196"/>
      <c r="AE151" s="196"/>
      <c r="AF151" s="196"/>
      <c r="AG151" s="196"/>
      <c r="AH151" s="196"/>
      <c r="AI151" s="196"/>
      <c r="AJ151" s="195"/>
      <c r="AK151" s="195"/>
      <c r="AL151" s="195"/>
      <c r="AM151" s="195"/>
      <c r="AN151" s="195"/>
      <c r="AO151" s="195"/>
      <c r="AP151" s="195"/>
      <c r="AQ151" s="195"/>
      <c r="AR151" s="195"/>
      <c r="AS151" s="195"/>
      <c r="AT151" s="195"/>
      <c r="AU151" s="195"/>
      <c r="AV151" s="195"/>
      <c r="AW151" s="195"/>
      <c r="AX151" s="263">
        <v>10</v>
      </c>
      <c r="AY151" s="264">
        <v>10</v>
      </c>
      <c r="AZ151" s="265" t="s">
        <v>765</v>
      </c>
      <c r="BA151" s="266" t="s">
        <v>833</v>
      </c>
    </row>
    <row r="152" spans="1:53" s="187" customFormat="1">
      <c r="A152" s="188" t="s">
        <v>827</v>
      </c>
      <c r="B152" s="238">
        <v>5224</v>
      </c>
      <c r="C152" s="238">
        <v>5224</v>
      </c>
      <c r="D152" s="190" t="s">
        <v>1095</v>
      </c>
      <c r="E152" s="191" t="s">
        <v>15</v>
      </c>
      <c r="F152" s="191" t="s">
        <v>59</v>
      </c>
      <c r="G152" s="212"/>
      <c r="H152" s="193">
        <f t="shared" si="16"/>
        <v>16.826499999999999</v>
      </c>
      <c r="I152" s="194">
        <v>4.6100000000000002E-2</v>
      </c>
      <c r="J152" s="194">
        <f t="shared" si="17"/>
        <v>1.383</v>
      </c>
      <c r="K152" s="194">
        <f t="shared" si="18"/>
        <v>16.826499999999999</v>
      </c>
      <c r="L152" s="194">
        <v>4.6100000000000002E-2</v>
      </c>
      <c r="M152" s="194">
        <f t="shared" si="19"/>
        <v>1.383</v>
      </c>
      <c r="N152" s="194">
        <f t="shared" si="20"/>
        <v>0</v>
      </c>
      <c r="O152" s="195"/>
      <c r="P152" s="195"/>
      <c r="Q152" s="195"/>
      <c r="R152" s="195"/>
      <c r="S152" s="195"/>
      <c r="T152" s="195"/>
      <c r="U152" s="195"/>
      <c r="V152" s="195"/>
      <c r="W152" s="195"/>
      <c r="X152" s="195"/>
      <c r="Y152" s="195"/>
      <c r="Z152" s="195"/>
      <c r="AA152" s="195"/>
      <c r="AB152" s="195"/>
      <c r="AC152" s="196"/>
      <c r="AD152" s="196"/>
      <c r="AE152" s="196"/>
      <c r="AF152" s="196"/>
      <c r="AG152" s="196"/>
      <c r="AH152" s="196"/>
      <c r="AI152" s="196"/>
      <c r="AJ152" s="195"/>
      <c r="AK152" s="195"/>
      <c r="AL152" s="195"/>
      <c r="AM152" s="195"/>
      <c r="AN152" s="195"/>
      <c r="AO152" s="195"/>
      <c r="AP152" s="195"/>
      <c r="AQ152" s="195"/>
      <c r="AR152" s="195"/>
      <c r="AS152" s="195"/>
      <c r="AT152" s="195"/>
      <c r="AU152" s="195"/>
      <c r="AV152" s="195"/>
      <c r="AW152" s="195"/>
      <c r="AX152" s="212">
        <v>20</v>
      </c>
      <c r="AY152" s="267">
        <v>20</v>
      </c>
      <c r="AZ152" s="268" t="s">
        <v>832</v>
      </c>
      <c r="BA152" s="253" t="s">
        <v>1096</v>
      </c>
    </row>
    <row r="153" spans="1:53" s="187" customFormat="1">
      <c r="A153" s="188" t="s">
        <v>827</v>
      </c>
      <c r="B153" s="210">
        <v>5251</v>
      </c>
      <c r="C153" s="210">
        <v>5251</v>
      </c>
      <c r="D153" s="190" t="s">
        <v>1097</v>
      </c>
      <c r="E153" s="191" t="s">
        <v>15</v>
      </c>
      <c r="F153" s="191" t="s">
        <v>1098</v>
      </c>
      <c r="G153" s="191" t="s">
        <v>782</v>
      </c>
      <c r="H153" s="193">
        <f t="shared" si="16"/>
        <v>450.59249999999997</v>
      </c>
      <c r="I153" s="199">
        <v>1.2344999999999999</v>
      </c>
      <c r="J153" s="194">
        <f t="shared" si="17"/>
        <v>37.034999999999997</v>
      </c>
      <c r="K153" s="194">
        <f t="shared" si="18"/>
        <v>466.43350000000004</v>
      </c>
      <c r="L153" s="199">
        <v>1.2779</v>
      </c>
      <c r="M153" s="194">
        <f t="shared" si="19"/>
        <v>38.337000000000003</v>
      </c>
      <c r="N153" s="194">
        <f t="shared" si="20"/>
        <v>4.3400000000000105E-2</v>
      </c>
      <c r="O153" s="195"/>
      <c r="P153" s="195"/>
      <c r="Q153" s="195"/>
      <c r="R153" s="195"/>
      <c r="S153" s="195"/>
      <c r="T153" s="195"/>
      <c r="U153" s="195"/>
      <c r="V153" s="195"/>
      <c r="W153" s="195"/>
      <c r="X153" s="195"/>
      <c r="Y153" s="195"/>
      <c r="Z153" s="195"/>
      <c r="AA153" s="195"/>
      <c r="AB153" s="195"/>
      <c r="AC153" s="196"/>
      <c r="AD153" s="196"/>
      <c r="AE153" s="196"/>
      <c r="AF153" s="196"/>
      <c r="AG153" s="196"/>
      <c r="AH153" s="196"/>
      <c r="AI153" s="196"/>
      <c r="AJ153" s="195"/>
      <c r="AK153" s="195"/>
      <c r="AL153" s="195"/>
      <c r="AM153" s="195"/>
      <c r="AN153" s="195"/>
      <c r="AO153" s="195"/>
      <c r="AP153" s="195"/>
      <c r="AQ153" s="195"/>
      <c r="AR153" s="195"/>
      <c r="AS153" s="195"/>
      <c r="AT153" s="195"/>
      <c r="AU153" s="195"/>
      <c r="AV153" s="195"/>
      <c r="AW153" s="195"/>
      <c r="AX153" s="192">
        <v>6</v>
      </c>
      <c r="AY153" s="202" t="s">
        <v>515</v>
      </c>
      <c r="AZ153" s="211" t="s">
        <v>1099</v>
      </c>
      <c r="BA153" s="266" t="s">
        <v>830</v>
      </c>
    </row>
    <row r="154" spans="1:53" s="187" customFormat="1">
      <c r="A154" s="188" t="s">
        <v>827</v>
      </c>
      <c r="B154" s="255">
        <v>5261</v>
      </c>
      <c r="C154" s="255">
        <v>5261</v>
      </c>
      <c r="D154" s="190" t="s">
        <v>1100</v>
      </c>
      <c r="E154" s="191" t="s">
        <v>15</v>
      </c>
      <c r="F154" s="191" t="s">
        <v>59</v>
      </c>
      <c r="G154" s="191"/>
      <c r="H154" s="193">
        <f t="shared" si="16"/>
        <v>14.892000000000001</v>
      </c>
      <c r="I154" s="199">
        <v>4.0800000000000003E-2</v>
      </c>
      <c r="J154" s="194">
        <f t="shared" si="17"/>
        <v>1.2240000000000002</v>
      </c>
      <c r="K154" s="194">
        <f t="shared" si="18"/>
        <v>14.892000000000001</v>
      </c>
      <c r="L154" s="199">
        <v>4.0800000000000003E-2</v>
      </c>
      <c r="M154" s="194">
        <f t="shared" si="19"/>
        <v>1.2240000000000002</v>
      </c>
      <c r="N154" s="194">
        <f t="shared" si="20"/>
        <v>0</v>
      </c>
      <c r="O154" s="195"/>
      <c r="P154" s="195"/>
      <c r="Q154" s="195"/>
      <c r="R154" s="195"/>
      <c r="S154" s="195"/>
      <c r="T154" s="195"/>
      <c r="U154" s="195"/>
      <c r="V154" s="195"/>
      <c r="W154" s="195"/>
      <c r="X154" s="195"/>
      <c r="Y154" s="195"/>
      <c r="Z154" s="195"/>
      <c r="AA154" s="195"/>
      <c r="AB154" s="195"/>
      <c r="AC154" s="196"/>
      <c r="AD154" s="196"/>
      <c r="AE154" s="196"/>
      <c r="AF154" s="196"/>
      <c r="AG154" s="196"/>
      <c r="AH154" s="196"/>
      <c r="AI154" s="196"/>
      <c r="AJ154" s="195"/>
      <c r="AK154" s="195"/>
      <c r="AL154" s="195"/>
      <c r="AM154" s="195"/>
      <c r="AN154" s="195"/>
      <c r="AO154" s="195"/>
      <c r="AP154" s="195"/>
      <c r="AQ154" s="195"/>
      <c r="AR154" s="195"/>
      <c r="AS154" s="195"/>
      <c r="AT154" s="195"/>
      <c r="AU154" s="195"/>
      <c r="AV154" s="195"/>
      <c r="AW154" s="195"/>
      <c r="AX154" s="226">
        <v>20</v>
      </c>
      <c r="AY154" s="250">
        <v>20</v>
      </c>
      <c r="AZ154" s="256" t="s">
        <v>1101</v>
      </c>
      <c r="BA154" s="201" t="s">
        <v>878</v>
      </c>
    </row>
    <row r="155" spans="1:53" s="187" customFormat="1">
      <c r="A155" s="188" t="s">
        <v>827</v>
      </c>
      <c r="B155" s="255">
        <v>5306</v>
      </c>
      <c r="C155" s="255">
        <v>5306</v>
      </c>
      <c r="D155" s="190" t="s">
        <v>1102</v>
      </c>
      <c r="E155" s="191" t="s">
        <v>15</v>
      </c>
      <c r="F155" s="191" t="s">
        <v>59</v>
      </c>
      <c r="G155" s="191"/>
      <c r="H155" s="193">
        <f t="shared" si="16"/>
        <v>8.2489999999999988</v>
      </c>
      <c r="I155" s="199">
        <v>2.2599999999999999E-2</v>
      </c>
      <c r="J155" s="194">
        <f t="shared" si="17"/>
        <v>0.67799999999999994</v>
      </c>
      <c r="K155" s="194">
        <f t="shared" si="18"/>
        <v>8.2489999999999988</v>
      </c>
      <c r="L155" s="199">
        <v>2.2599999999999999E-2</v>
      </c>
      <c r="M155" s="194">
        <f t="shared" si="19"/>
        <v>0.67799999999999994</v>
      </c>
      <c r="N155" s="194">
        <f t="shared" si="20"/>
        <v>0</v>
      </c>
      <c r="O155" s="195"/>
      <c r="P155" s="195"/>
      <c r="Q155" s="195"/>
      <c r="R155" s="195"/>
      <c r="S155" s="195"/>
      <c r="T155" s="195"/>
      <c r="U155" s="195"/>
      <c r="V155" s="195"/>
      <c r="W155" s="195"/>
      <c r="X155" s="195"/>
      <c r="Y155" s="195"/>
      <c r="Z155" s="195"/>
      <c r="AA155" s="195"/>
      <c r="AB155" s="195"/>
      <c r="AC155" s="196"/>
      <c r="AD155" s="196"/>
      <c r="AE155" s="196"/>
      <c r="AF155" s="196"/>
      <c r="AG155" s="196"/>
      <c r="AH155" s="196"/>
      <c r="AI155" s="196"/>
      <c r="AJ155" s="195"/>
      <c r="AK155" s="195"/>
      <c r="AL155" s="195"/>
      <c r="AM155" s="195"/>
      <c r="AN155" s="195"/>
      <c r="AO155" s="195"/>
      <c r="AP155" s="195"/>
      <c r="AQ155" s="195"/>
      <c r="AR155" s="195"/>
      <c r="AS155" s="195"/>
      <c r="AT155" s="195"/>
      <c r="AU155" s="195"/>
      <c r="AV155" s="195"/>
      <c r="AW155" s="195"/>
      <c r="AX155" s="226">
        <v>20</v>
      </c>
      <c r="AY155" s="250">
        <v>20</v>
      </c>
      <c r="AZ155" s="256" t="s">
        <v>765</v>
      </c>
      <c r="BA155" s="201" t="s">
        <v>836</v>
      </c>
    </row>
    <row r="156" spans="1:53" s="187" customFormat="1">
      <c r="A156" s="188" t="s">
        <v>827</v>
      </c>
      <c r="B156" s="255">
        <v>5313</v>
      </c>
      <c r="C156" s="255">
        <v>5313</v>
      </c>
      <c r="D156" s="190" t="s">
        <v>1103</v>
      </c>
      <c r="E156" s="191" t="s">
        <v>15</v>
      </c>
      <c r="F156" s="191" t="s">
        <v>59</v>
      </c>
      <c r="G156" s="191"/>
      <c r="H156" s="193">
        <f t="shared" si="16"/>
        <v>16.753500000000003</v>
      </c>
      <c r="I156" s="199">
        <v>4.5900000000000003E-2</v>
      </c>
      <c r="J156" s="194">
        <f t="shared" si="17"/>
        <v>1.377</v>
      </c>
      <c r="K156" s="194">
        <f t="shared" si="18"/>
        <v>16.753500000000003</v>
      </c>
      <c r="L156" s="199">
        <v>4.5900000000000003E-2</v>
      </c>
      <c r="M156" s="194">
        <f t="shared" si="19"/>
        <v>1.377</v>
      </c>
      <c r="N156" s="194">
        <f t="shared" si="20"/>
        <v>0</v>
      </c>
      <c r="O156" s="195"/>
      <c r="P156" s="195"/>
      <c r="Q156" s="195"/>
      <c r="R156" s="195"/>
      <c r="S156" s="195"/>
      <c r="T156" s="195"/>
      <c r="U156" s="195"/>
      <c r="V156" s="195"/>
      <c r="W156" s="195"/>
      <c r="X156" s="195"/>
      <c r="Y156" s="195"/>
      <c r="Z156" s="195"/>
      <c r="AA156" s="195"/>
      <c r="AB156" s="195"/>
      <c r="AC156" s="196"/>
      <c r="AD156" s="196"/>
      <c r="AE156" s="196"/>
      <c r="AF156" s="196"/>
      <c r="AG156" s="196"/>
      <c r="AH156" s="196"/>
      <c r="AI156" s="196"/>
      <c r="AJ156" s="195"/>
      <c r="AK156" s="195"/>
      <c r="AL156" s="195"/>
      <c r="AM156" s="195"/>
      <c r="AN156" s="195"/>
      <c r="AO156" s="195"/>
      <c r="AP156" s="195"/>
      <c r="AQ156" s="195"/>
      <c r="AR156" s="195"/>
      <c r="AS156" s="195"/>
      <c r="AT156" s="195"/>
      <c r="AU156" s="195"/>
      <c r="AV156" s="195"/>
      <c r="AW156" s="195"/>
      <c r="AX156" s="226">
        <v>20</v>
      </c>
      <c r="AY156" s="250">
        <v>20</v>
      </c>
      <c r="AZ156" s="256" t="s">
        <v>765</v>
      </c>
      <c r="BA156" s="201" t="s">
        <v>1104</v>
      </c>
    </row>
    <row r="157" spans="1:53" s="187" customFormat="1">
      <c r="A157" s="188" t="s">
        <v>827</v>
      </c>
      <c r="B157" s="255">
        <v>5333</v>
      </c>
      <c r="C157" s="255">
        <v>5333</v>
      </c>
      <c r="D157" s="190" t="s">
        <v>1105</v>
      </c>
      <c r="E157" s="191" t="s">
        <v>155</v>
      </c>
      <c r="F157" s="191" t="s">
        <v>59</v>
      </c>
      <c r="G157" s="191"/>
      <c r="H157" s="193">
        <f t="shared" si="16"/>
        <v>12.41</v>
      </c>
      <c r="I157" s="199">
        <v>3.4000000000000002E-2</v>
      </c>
      <c r="J157" s="194">
        <f t="shared" si="17"/>
        <v>1.02</v>
      </c>
      <c r="K157" s="194">
        <f t="shared" si="18"/>
        <v>12.41</v>
      </c>
      <c r="L157" s="199">
        <v>3.4000000000000002E-2</v>
      </c>
      <c r="M157" s="194">
        <f t="shared" si="19"/>
        <v>1.02</v>
      </c>
      <c r="N157" s="194">
        <f t="shared" si="20"/>
        <v>0</v>
      </c>
      <c r="O157" s="195"/>
      <c r="P157" s="195"/>
      <c r="Q157" s="195"/>
      <c r="R157" s="195"/>
      <c r="S157" s="195"/>
      <c r="T157" s="195"/>
      <c r="U157" s="195"/>
      <c r="V157" s="195"/>
      <c r="W157" s="195"/>
      <c r="X157" s="195"/>
      <c r="Y157" s="195"/>
      <c r="Z157" s="195"/>
      <c r="AA157" s="195"/>
      <c r="AB157" s="195"/>
      <c r="AC157" s="196"/>
      <c r="AD157" s="196"/>
      <c r="AE157" s="196"/>
      <c r="AF157" s="196"/>
      <c r="AG157" s="196"/>
      <c r="AH157" s="196"/>
      <c r="AI157" s="196"/>
      <c r="AJ157" s="195"/>
      <c r="AK157" s="195"/>
      <c r="AL157" s="195"/>
      <c r="AM157" s="195"/>
      <c r="AN157" s="195"/>
      <c r="AO157" s="195"/>
      <c r="AP157" s="195"/>
      <c r="AQ157" s="195"/>
      <c r="AR157" s="195"/>
      <c r="AS157" s="195"/>
      <c r="AT157" s="195"/>
      <c r="AU157" s="195"/>
      <c r="AV157" s="195"/>
      <c r="AW157" s="195"/>
      <c r="AX157" s="226">
        <v>20</v>
      </c>
      <c r="AY157" s="250" t="s">
        <v>851</v>
      </c>
      <c r="AZ157" s="256" t="s">
        <v>765</v>
      </c>
      <c r="BA157" s="201" t="s">
        <v>833</v>
      </c>
    </row>
    <row r="158" spans="1:53" s="187" customFormat="1">
      <c r="A158" s="188" t="s">
        <v>827</v>
      </c>
      <c r="B158" s="255">
        <v>5394</v>
      </c>
      <c r="C158" s="255">
        <v>5394</v>
      </c>
      <c r="D158" s="190" t="s">
        <v>1106</v>
      </c>
      <c r="E158" s="191" t="s">
        <v>15</v>
      </c>
      <c r="F158" s="191" t="s">
        <v>59</v>
      </c>
      <c r="G158" s="192"/>
      <c r="H158" s="193">
        <f t="shared" si="16"/>
        <v>38.252000000000002</v>
      </c>
      <c r="I158" s="199">
        <v>0.1048</v>
      </c>
      <c r="J158" s="194">
        <f t="shared" si="17"/>
        <v>3.1440000000000001</v>
      </c>
      <c r="K158" s="194">
        <f t="shared" si="18"/>
        <v>38.252000000000002</v>
      </c>
      <c r="L158" s="199">
        <v>0.1048</v>
      </c>
      <c r="M158" s="194">
        <f t="shared" si="19"/>
        <v>3.1440000000000001</v>
      </c>
      <c r="N158" s="194">
        <f t="shared" si="20"/>
        <v>0</v>
      </c>
      <c r="O158" s="195"/>
      <c r="P158" s="195"/>
      <c r="Q158" s="195"/>
      <c r="R158" s="195"/>
      <c r="S158" s="195"/>
      <c r="T158" s="195"/>
      <c r="U158" s="195"/>
      <c r="V158" s="195"/>
      <c r="W158" s="195"/>
      <c r="X158" s="195"/>
      <c r="Y158" s="195"/>
      <c r="Z158" s="195"/>
      <c r="AA158" s="195"/>
      <c r="AB158" s="195"/>
      <c r="AC158" s="196"/>
      <c r="AD158" s="196"/>
      <c r="AE158" s="196"/>
      <c r="AF158" s="196"/>
      <c r="AG158" s="196"/>
      <c r="AH158" s="196"/>
      <c r="AI158" s="196"/>
      <c r="AJ158" s="195"/>
      <c r="AK158" s="195"/>
      <c r="AL158" s="195"/>
      <c r="AM158" s="195"/>
      <c r="AN158" s="195"/>
      <c r="AO158" s="195"/>
      <c r="AP158" s="195"/>
      <c r="AQ158" s="195"/>
      <c r="AR158" s="195"/>
      <c r="AS158" s="195"/>
      <c r="AT158" s="195"/>
      <c r="AU158" s="195"/>
      <c r="AV158" s="195"/>
      <c r="AW158" s="195"/>
      <c r="AX158" s="226">
        <v>10</v>
      </c>
      <c r="AY158" s="250">
        <v>20</v>
      </c>
      <c r="AZ158" s="256" t="s">
        <v>1107</v>
      </c>
      <c r="BA158" s="201" t="s">
        <v>1108</v>
      </c>
    </row>
    <row r="159" spans="1:53" s="187" customFormat="1">
      <c r="A159" s="188" t="s">
        <v>827</v>
      </c>
      <c r="B159" s="255">
        <v>5413</v>
      </c>
      <c r="C159" s="255">
        <v>5413</v>
      </c>
      <c r="D159" s="190" t="s">
        <v>1109</v>
      </c>
      <c r="E159" s="191" t="s">
        <v>15</v>
      </c>
      <c r="F159" s="191" t="s">
        <v>59</v>
      </c>
      <c r="G159" s="191"/>
      <c r="H159" s="193">
        <f t="shared" si="16"/>
        <v>3.7230000000000003</v>
      </c>
      <c r="I159" s="199">
        <v>1.0200000000000001E-2</v>
      </c>
      <c r="J159" s="194">
        <f t="shared" si="17"/>
        <v>0.30600000000000005</v>
      </c>
      <c r="K159" s="194">
        <f t="shared" si="18"/>
        <v>3.7230000000000003</v>
      </c>
      <c r="L159" s="199">
        <v>1.0200000000000001E-2</v>
      </c>
      <c r="M159" s="194">
        <f t="shared" si="19"/>
        <v>0.30600000000000005</v>
      </c>
      <c r="N159" s="194">
        <f t="shared" si="20"/>
        <v>0</v>
      </c>
      <c r="O159" s="195"/>
      <c r="P159" s="195"/>
      <c r="Q159" s="195"/>
      <c r="R159" s="195"/>
      <c r="S159" s="195"/>
      <c r="T159" s="195"/>
      <c r="U159" s="195"/>
      <c r="V159" s="195"/>
      <c r="W159" s="195"/>
      <c r="X159" s="195"/>
      <c r="Y159" s="195"/>
      <c r="Z159" s="195"/>
      <c r="AA159" s="195"/>
      <c r="AB159" s="195"/>
      <c r="AC159" s="196"/>
      <c r="AD159" s="196"/>
      <c r="AE159" s="196"/>
      <c r="AF159" s="196"/>
      <c r="AG159" s="196"/>
      <c r="AH159" s="196"/>
      <c r="AI159" s="196"/>
      <c r="AJ159" s="195"/>
      <c r="AK159" s="195"/>
      <c r="AL159" s="195"/>
      <c r="AM159" s="195"/>
      <c r="AN159" s="195"/>
      <c r="AO159" s="195"/>
      <c r="AP159" s="195"/>
      <c r="AQ159" s="195"/>
      <c r="AR159" s="195"/>
      <c r="AS159" s="195"/>
      <c r="AT159" s="195"/>
      <c r="AU159" s="195"/>
      <c r="AV159" s="195"/>
      <c r="AW159" s="195"/>
      <c r="AX159" s="226">
        <v>20</v>
      </c>
      <c r="AY159" s="250" t="s">
        <v>851</v>
      </c>
      <c r="AZ159" s="256" t="s">
        <v>884</v>
      </c>
      <c r="BA159" s="201" t="s">
        <v>830</v>
      </c>
    </row>
    <row r="160" spans="1:53" s="187" customFormat="1">
      <c r="A160" s="188" t="s">
        <v>827</v>
      </c>
      <c r="B160" s="255">
        <v>5414</v>
      </c>
      <c r="C160" s="255">
        <v>5414</v>
      </c>
      <c r="D160" s="190" t="s">
        <v>1110</v>
      </c>
      <c r="E160" s="191" t="s">
        <v>15</v>
      </c>
      <c r="F160" s="191" t="s">
        <v>59</v>
      </c>
      <c r="G160" s="192"/>
      <c r="H160" s="193">
        <f t="shared" si="16"/>
        <v>47.705500000000001</v>
      </c>
      <c r="I160" s="199">
        <v>0.13070000000000001</v>
      </c>
      <c r="J160" s="194">
        <f t="shared" si="17"/>
        <v>3.9210000000000003</v>
      </c>
      <c r="K160" s="194">
        <f t="shared" si="18"/>
        <v>47.705500000000001</v>
      </c>
      <c r="L160" s="199">
        <v>0.13070000000000001</v>
      </c>
      <c r="M160" s="194">
        <f t="shared" si="19"/>
        <v>3.9210000000000003</v>
      </c>
      <c r="N160" s="194">
        <f t="shared" si="20"/>
        <v>0</v>
      </c>
      <c r="O160" s="195"/>
      <c r="P160" s="195"/>
      <c r="Q160" s="195"/>
      <c r="R160" s="195"/>
      <c r="S160" s="195"/>
      <c r="T160" s="195"/>
      <c r="U160" s="195"/>
      <c r="V160" s="195"/>
      <c r="W160" s="195"/>
      <c r="X160" s="195"/>
      <c r="Y160" s="195"/>
      <c r="Z160" s="195"/>
      <c r="AA160" s="195"/>
      <c r="AB160" s="195"/>
      <c r="AC160" s="196"/>
      <c r="AD160" s="196"/>
      <c r="AE160" s="196"/>
      <c r="AF160" s="196"/>
      <c r="AG160" s="196"/>
      <c r="AH160" s="196"/>
      <c r="AI160" s="196"/>
      <c r="AJ160" s="195"/>
      <c r="AK160" s="195"/>
      <c r="AL160" s="195"/>
      <c r="AM160" s="195"/>
      <c r="AN160" s="195"/>
      <c r="AO160" s="195"/>
      <c r="AP160" s="195"/>
      <c r="AQ160" s="195"/>
      <c r="AR160" s="195"/>
      <c r="AS160" s="195"/>
      <c r="AT160" s="195"/>
      <c r="AU160" s="195"/>
      <c r="AV160" s="195"/>
      <c r="AW160" s="195"/>
      <c r="AX160" s="226">
        <v>20</v>
      </c>
      <c r="AY160" s="250">
        <v>20</v>
      </c>
      <c r="AZ160" s="256" t="s">
        <v>765</v>
      </c>
      <c r="BA160" s="201" t="s">
        <v>933</v>
      </c>
    </row>
    <row r="161" spans="1:53" s="187" customFormat="1">
      <c r="A161" s="188" t="s">
        <v>827</v>
      </c>
      <c r="B161" s="255">
        <v>5472</v>
      </c>
      <c r="C161" s="255">
        <v>5472</v>
      </c>
      <c r="D161" s="269" t="s">
        <v>1111</v>
      </c>
      <c r="E161" s="219" t="s">
        <v>15</v>
      </c>
      <c r="F161" s="191" t="s">
        <v>59</v>
      </c>
      <c r="G161" s="270"/>
      <c r="H161" s="193">
        <f t="shared" si="16"/>
        <v>42.412999999999997</v>
      </c>
      <c r="I161" s="199">
        <v>0.1162</v>
      </c>
      <c r="J161" s="194">
        <f t="shared" si="17"/>
        <v>3.4859999999999998</v>
      </c>
      <c r="K161" s="194">
        <f t="shared" si="18"/>
        <v>42.412999999999997</v>
      </c>
      <c r="L161" s="199">
        <v>0.1162</v>
      </c>
      <c r="M161" s="194">
        <f t="shared" si="19"/>
        <v>3.4859999999999998</v>
      </c>
      <c r="N161" s="194">
        <f t="shared" si="20"/>
        <v>0</v>
      </c>
      <c r="O161" s="195"/>
      <c r="P161" s="195"/>
      <c r="Q161" s="195"/>
      <c r="R161" s="195"/>
      <c r="S161" s="195"/>
      <c r="T161" s="195"/>
      <c r="U161" s="195"/>
      <c r="V161" s="195"/>
      <c r="W161" s="195"/>
      <c r="X161" s="195"/>
      <c r="Y161" s="195"/>
      <c r="Z161" s="195"/>
      <c r="AA161" s="195"/>
      <c r="AB161" s="195"/>
      <c r="AC161" s="196"/>
      <c r="AD161" s="196"/>
      <c r="AE161" s="196"/>
      <c r="AF161" s="196"/>
      <c r="AG161" s="196"/>
      <c r="AH161" s="196"/>
      <c r="AI161" s="196"/>
      <c r="AJ161" s="195"/>
      <c r="AK161" s="195"/>
      <c r="AL161" s="195"/>
      <c r="AM161" s="195"/>
      <c r="AN161" s="195"/>
      <c r="AO161" s="195"/>
      <c r="AP161" s="195"/>
      <c r="AQ161" s="195"/>
      <c r="AR161" s="195"/>
      <c r="AS161" s="195"/>
      <c r="AT161" s="195"/>
      <c r="AU161" s="195"/>
      <c r="AV161" s="195"/>
      <c r="AW161" s="195"/>
      <c r="AX161" s="226">
        <v>10</v>
      </c>
      <c r="AY161" s="241" t="s">
        <v>851</v>
      </c>
      <c r="AZ161" s="271" t="s">
        <v>1112</v>
      </c>
      <c r="BA161" s="269" t="s">
        <v>833</v>
      </c>
    </row>
    <row r="162" spans="1:53" s="187" customFormat="1">
      <c r="A162" s="188" t="s">
        <v>827</v>
      </c>
      <c r="B162" s="219">
        <v>5476</v>
      </c>
      <c r="C162" s="219">
        <v>5476</v>
      </c>
      <c r="D162" s="272" t="s">
        <v>1113</v>
      </c>
      <c r="E162" s="191" t="s">
        <v>15</v>
      </c>
      <c r="F162" s="191" t="s">
        <v>59</v>
      </c>
      <c r="G162" s="191" t="s">
        <v>782</v>
      </c>
      <c r="H162" s="193">
        <f t="shared" si="16"/>
        <v>105.85</v>
      </c>
      <c r="I162" s="194">
        <v>0.28999999999999998</v>
      </c>
      <c r="J162" s="194">
        <f t="shared" si="17"/>
        <v>8.6999999999999993</v>
      </c>
      <c r="K162" s="194">
        <f t="shared" si="18"/>
        <v>105.85</v>
      </c>
      <c r="L162" s="194">
        <v>0.28999999999999998</v>
      </c>
      <c r="M162" s="194">
        <f t="shared" si="19"/>
        <v>8.6999999999999993</v>
      </c>
      <c r="N162" s="194">
        <f t="shared" si="20"/>
        <v>0</v>
      </c>
      <c r="O162" s="195"/>
      <c r="P162" s="195"/>
      <c r="Q162" s="195"/>
      <c r="R162" s="195"/>
      <c r="S162" s="195"/>
      <c r="T162" s="195"/>
      <c r="U162" s="195"/>
      <c r="V162" s="195"/>
      <c r="W162" s="195"/>
      <c r="X162" s="195"/>
      <c r="Y162" s="195"/>
      <c r="Z162" s="195"/>
      <c r="AA162" s="195"/>
      <c r="AB162" s="195"/>
      <c r="AC162" s="196"/>
      <c r="AD162" s="196"/>
      <c r="AE162" s="196"/>
      <c r="AF162" s="196"/>
      <c r="AG162" s="196"/>
      <c r="AH162" s="196"/>
      <c r="AI162" s="196"/>
      <c r="AJ162" s="195"/>
      <c r="AK162" s="195"/>
      <c r="AL162" s="195"/>
      <c r="AM162" s="195"/>
      <c r="AN162" s="195"/>
      <c r="AO162" s="195"/>
      <c r="AP162" s="195"/>
      <c r="AQ162" s="195"/>
      <c r="AR162" s="195"/>
      <c r="AS162" s="195"/>
      <c r="AT162" s="195"/>
      <c r="AU162" s="195"/>
      <c r="AV162" s="195"/>
      <c r="AW162" s="195"/>
      <c r="AX162" s="191">
        <v>20</v>
      </c>
      <c r="AY162" s="225">
        <v>20</v>
      </c>
      <c r="AZ162" s="207" t="s">
        <v>983</v>
      </c>
      <c r="BA162" s="190" t="s">
        <v>888</v>
      </c>
    </row>
    <row r="163" spans="1:53" s="187" customFormat="1">
      <c r="A163" s="188" t="s">
        <v>827</v>
      </c>
      <c r="B163" s="255">
        <v>5480</v>
      </c>
      <c r="C163" s="255">
        <v>5480</v>
      </c>
      <c r="D163" s="190" t="s">
        <v>1114</v>
      </c>
      <c r="E163" s="191" t="s">
        <v>15</v>
      </c>
      <c r="F163" s="191" t="s">
        <v>59</v>
      </c>
      <c r="G163" s="224"/>
      <c r="H163" s="193">
        <f t="shared" ref="H163:H185" si="21">I163*365</f>
        <v>14.892000000000001</v>
      </c>
      <c r="I163" s="199">
        <v>4.0800000000000003E-2</v>
      </c>
      <c r="J163" s="194">
        <f t="shared" ref="J163:J226" si="22">I163*30</f>
        <v>1.2240000000000002</v>
      </c>
      <c r="K163" s="194">
        <f t="shared" ref="K163:K170" si="23">L163*365</f>
        <v>14.892000000000001</v>
      </c>
      <c r="L163" s="199">
        <v>4.0800000000000003E-2</v>
      </c>
      <c r="M163" s="194">
        <f t="shared" ref="M163:M170" si="24">L163*30</f>
        <v>1.2240000000000002</v>
      </c>
      <c r="N163" s="194">
        <f t="shared" si="20"/>
        <v>0</v>
      </c>
      <c r="O163" s="195"/>
      <c r="P163" s="195"/>
      <c r="Q163" s="195"/>
      <c r="R163" s="195"/>
      <c r="S163" s="195"/>
      <c r="T163" s="195"/>
      <c r="U163" s="195"/>
      <c r="V163" s="195"/>
      <c r="W163" s="195"/>
      <c r="X163" s="195"/>
      <c r="Y163" s="195"/>
      <c r="Z163" s="195"/>
      <c r="AA163" s="195"/>
      <c r="AB163" s="195"/>
      <c r="AC163" s="196"/>
      <c r="AD163" s="196"/>
      <c r="AE163" s="196"/>
      <c r="AF163" s="196"/>
      <c r="AG163" s="196"/>
      <c r="AH163" s="196"/>
      <c r="AI163" s="196"/>
      <c r="AJ163" s="195"/>
      <c r="AK163" s="195"/>
      <c r="AL163" s="195"/>
      <c r="AM163" s="195"/>
      <c r="AN163" s="195"/>
      <c r="AO163" s="195"/>
      <c r="AP163" s="195"/>
      <c r="AQ163" s="195"/>
      <c r="AR163" s="195"/>
      <c r="AS163" s="195"/>
      <c r="AT163" s="195"/>
      <c r="AU163" s="195"/>
      <c r="AV163" s="195"/>
      <c r="AW163" s="195"/>
      <c r="AX163" s="226">
        <v>20</v>
      </c>
      <c r="AY163" s="249">
        <v>20</v>
      </c>
      <c r="AZ163" s="256" t="s">
        <v>835</v>
      </c>
      <c r="BA163" s="190" t="s">
        <v>833</v>
      </c>
    </row>
    <row r="164" spans="1:53" s="187" customFormat="1">
      <c r="A164" s="188" t="s">
        <v>827</v>
      </c>
      <c r="B164" s="255">
        <v>5503</v>
      </c>
      <c r="C164" s="255">
        <v>5503</v>
      </c>
      <c r="D164" s="269" t="s">
        <v>1115</v>
      </c>
      <c r="E164" s="219" t="s">
        <v>15</v>
      </c>
      <c r="F164" s="191" t="s">
        <v>59</v>
      </c>
      <c r="G164" s="273"/>
      <c r="H164" s="193">
        <f t="shared" si="21"/>
        <v>13.943</v>
      </c>
      <c r="I164" s="199">
        <v>3.8199999999999998E-2</v>
      </c>
      <c r="J164" s="194">
        <f t="shared" si="22"/>
        <v>1.1459999999999999</v>
      </c>
      <c r="K164" s="194">
        <f t="shared" si="23"/>
        <v>13.943</v>
      </c>
      <c r="L164" s="199">
        <v>3.8199999999999998E-2</v>
      </c>
      <c r="M164" s="194">
        <f t="shared" si="24"/>
        <v>1.1459999999999999</v>
      </c>
      <c r="N164" s="194">
        <f t="shared" si="20"/>
        <v>0</v>
      </c>
      <c r="O164" s="195"/>
      <c r="P164" s="195"/>
      <c r="Q164" s="195"/>
      <c r="R164" s="195"/>
      <c r="S164" s="195"/>
      <c r="T164" s="195"/>
      <c r="U164" s="195"/>
      <c r="V164" s="195"/>
      <c r="W164" s="195"/>
      <c r="X164" s="195"/>
      <c r="Y164" s="195"/>
      <c r="Z164" s="195"/>
      <c r="AA164" s="195"/>
      <c r="AB164" s="195"/>
      <c r="AC164" s="196"/>
      <c r="AD164" s="196"/>
      <c r="AE164" s="196"/>
      <c r="AF164" s="196"/>
      <c r="AG164" s="196"/>
      <c r="AH164" s="196"/>
      <c r="AI164" s="196"/>
      <c r="AJ164" s="195"/>
      <c r="AK164" s="195"/>
      <c r="AL164" s="195"/>
      <c r="AM164" s="195"/>
      <c r="AN164" s="195"/>
      <c r="AO164" s="195"/>
      <c r="AP164" s="195"/>
      <c r="AQ164" s="195"/>
      <c r="AR164" s="195"/>
      <c r="AS164" s="195"/>
      <c r="AT164" s="195"/>
      <c r="AU164" s="195"/>
      <c r="AV164" s="195"/>
      <c r="AW164" s="195"/>
      <c r="AX164" s="226">
        <v>20</v>
      </c>
      <c r="AY164" s="241">
        <v>20</v>
      </c>
      <c r="AZ164" s="271" t="s">
        <v>765</v>
      </c>
      <c r="BA164" s="269" t="s">
        <v>830</v>
      </c>
    </row>
    <row r="165" spans="1:53" s="187" customFormat="1">
      <c r="A165" s="188" t="s">
        <v>827</v>
      </c>
      <c r="B165" s="261">
        <v>5561</v>
      </c>
      <c r="C165" s="261">
        <v>5561</v>
      </c>
      <c r="D165" s="211" t="s">
        <v>894</v>
      </c>
      <c r="E165" s="191" t="s">
        <v>101</v>
      </c>
      <c r="F165" s="191" t="s">
        <v>59</v>
      </c>
      <c r="G165" s="212"/>
      <c r="H165" s="193">
        <f t="shared" si="21"/>
        <v>8.8330000000000002</v>
      </c>
      <c r="I165" s="199">
        <v>2.4199999999999999E-2</v>
      </c>
      <c r="J165" s="194">
        <f t="shared" si="22"/>
        <v>0.72599999999999998</v>
      </c>
      <c r="K165" s="194">
        <f t="shared" si="23"/>
        <v>8.8330000000000002</v>
      </c>
      <c r="L165" s="199">
        <v>2.4199999999999999E-2</v>
      </c>
      <c r="M165" s="194">
        <f t="shared" si="24"/>
        <v>0.72599999999999998</v>
      </c>
      <c r="N165" s="194">
        <f t="shared" si="20"/>
        <v>0</v>
      </c>
      <c r="O165" s="195"/>
      <c r="P165" s="195"/>
      <c r="Q165" s="195"/>
      <c r="R165" s="195"/>
      <c r="S165" s="195"/>
      <c r="T165" s="195"/>
      <c r="U165" s="195"/>
      <c r="V165" s="195"/>
      <c r="W165" s="195"/>
      <c r="X165" s="195"/>
      <c r="Y165" s="195"/>
      <c r="Z165" s="195"/>
      <c r="AA165" s="195"/>
      <c r="AB165" s="195"/>
      <c r="AC165" s="196"/>
      <c r="AD165" s="196"/>
      <c r="AE165" s="196"/>
      <c r="AF165" s="196"/>
      <c r="AG165" s="196"/>
      <c r="AH165" s="196"/>
      <c r="AI165" s="196"/>
      <c r="AJ165" s="195"/>
      <c r="AK165" s="195"/>
      <c r="AL165" s="195"/>
      <c r="AM165" s="195"/>
      <c r="AN165" s="195"/>
      <c r="AO165" s="195"/>
      <c r="AP165" s="195"/>
      <c r="AQ165" s="195"/>
      <c r="AR165" s="195"/>
      <c r="AS165" s="195"/>
      <c r="AT165" s="195"/>
      <c r="AU165" s="195"/>
      <c r="AV165" s="195"/>
      <c r="AW165" s="195"/>
      <c r="AX165" s="226">
        <v>20</v>
      </c>
      <c r="AY165" s="250">
        <v>20</v>
      </c>
      <c r="AZ165" s="256" t="s">
        <v>765</v>
      </c>
      <c r="BA165" s="190" t="s">
        <v>1116</v>
      </c>
    </row>
    <row r="166" spans="1:53" s="187" customFormat="1">
      <c r="A166" s="188" t="s">
        <v>827</v>
      </c>
      <c r="B166" s="255">
        <v>5635</v>
      </c>
      <c r="C166" s="255">
        <v>5635</v>
      </c>
      <c r="D166" s="190" t="s">
        <v>1117</v>
      </c>
      <c r="E166" s="191" t="s">
        <v>15</v>
      </c>
      <c r="F166" s="191" t="s">
        <v>59</v>
      </c>
      <c r="G166" s="191"/>
      <c r="H166" s="193">
        <f t="shared" si="21"/>
        <v>107.49249999999999</v>
      </c>
      <c r="I166" s="199">
        <v>0.29449999999999998</v>
      </c>
      <c r="J166" s="194">
        <f t="shared" si="22"/>
        <v>8.8349999999999991</v>
      </c>
      <c r="K166" s="194">
        <f t="shared" si="23"/>
        <v>107.49249999999999</v>
      </c>
      <c r="L166" s="199">
        <v>0.29449999999999998</v>
      </c>
      <c r="M166" s="194">
        <f t="shared" si="24"/>
        <v>8.8349999999999991</v>
      </c>
      <c r="N166" s="194">
        <f t="shared" ref="N166:N170" si="25">L166-I166</f>
        <v>0</v>
      </c>
      <c r="O166" s="195"/>
      <c r="P166" s="195"/>
      <c r="Q166" s="195"/>
      <c r="R166" s="195"/>
      <c r="S166" s="195"/>
      <c r="T166" s="195"/>
      <c r="U166" s="195"/>
      <c r="V166" s="195"/>
      <c r="W166" s="195"/>
      <c r="X166" s="195"/>
      <c r="Y166" s="195"/>
      <c r="Z166" s="195"/>
      <c r="AA166" s="195"/>
      <c r="AB166" s="195"/>
      <c r="AC166" s="196"/>
      <c r="AD166" s="196"/>
      <c r="AE166" s="196"/>
      <c r="AF166" s="196"/>
      <c r="AG166" s="196"/>
      <c r="AH166" s="196"/>
      <c r="AI166" s="196"/>
      <c r="AJ166" s="195"/>
      <c r="AK166" s="195"/>
      <c r="AL166" s="195"/>
      <c r="AM166" s="195"/>
      <c r="AN166" s="195"/>
      <c r="AO166" s="195"/>
      <c r="AP166" s="195"/>
      <c r="AQ166" s="195"/>
      <c r="AR166" s="195"/>
      <c r="AS166" s="195"/>
      <c r="AT166" s="195"/>
      <c r="AU166" s="195"/>
      <c r="AV166" s="195"/>
      <c r="AW166" s="195"/>
      <c r="AX166" s="226" t="s">
        <v>515</v>
      </c>
      <c r="AY166" s="250" t="s">
        <v>515</v>
      </c>
      <c r="AZ166" s="256" t="s">
        <v>1118</v>
      </c>
      <c r="BA166" s="201" t="s">
        <v>1119</v>
      </c>
    </row>
    <row r="167" spans="1:53" s="187" customFormat="1">
      <c r="A167" s="188" t="s">
        <v>827</v>
      </c>
      <c r="B167" s="219">
        <v>5654</v>
      </c>
      <c r="C167" s="219">
        <v>5654</v>
      </c>
      <c r="D167" s="272" t="s">
        <v>1120</v>
      </c>
      <c r="E167" s="191" t="s">
        <v>15</v>
      </c>
      <c r="F167" s="191" t="s">
        <v>59</v>
      </c>
      <c r="G167" s="191" t="s">
        <v>782</v>
      </c>
      <c r="H167" s="193">
        <f t="shared" si="21"/>
        <v>38.361499999999999</v>
      </c>
      <c r="I167" s="194">
        <v>0.1051</v>
      </c>
      <c r="J167" s="194">
        <f t="shared" si="22"/>
        <v>3.153</v>
      </c>
      <c r="K167" s="194">
        <f t="shared" si="23"/>
        <v>38.361499999999999</v>
      </c>
      <c r="L167" s="194">
        <v>0.1051</v>
      </c>
      <c r="M167" s="194">
        <f t="shared" si="24"/>
        <v>3.153</v>
      </c>
      <c r="N167" s="194">
        <f t="shared" si="25"/>
        <v>0</v>
      </c>
      <c r="O167" s="195"/>
      <c r="P167" s="195"/>
      <c r="Q167" s="195"/>
      <c r="R167" s="195"/>
      <c r="S167" s="195"/>
      <c r="T167" s="195"/>
      <c r="U167" s="195"/>
      <c r="V167" s="195"/>
      <c r="W167" s="195"/>
      <c r="X167" s="195"/>
      <c r="Y167" s="195"/>
      <c r="Z167" s="195"/>
      <c r="AA167" s="195"/>
      <c r="AB167" s="195"/>
      <c r="AC167" s="196"/>
      <c r="AD167" s="196"/>
      <c r="AE167" s="196"/>
      <c r="AF167" s="196"/>
      <c r="AG167" s="196"/>
      <c r="AH167" s="196"/>
      <c r="AI167" s="196"/>
      <c r="AJ167" s="195"/>
      <c r="AK167" s="195"/>
      <c r="AL167" s="195"/>
      <c r="AM167" s="195"/>
      <c r="AN167" s="195"/>
      <c r="AO167" s="195"/>
      <c r="AP167" s="195"/>
      <c r="AQ167" s="195"/>
      <c r="AR167" s="195"/>
      <c r="AS167" s="195"/>
      <c r="AT167" s="195"/>
      <c r="AU167" s="195"/>
      <c r="AV167" s="195"/>
      <c r="AW167" s="195"/>
      <c r="AX167" s="191">
        <v>20</v>
      </c>
      <c r="AY167" s="215">
        <v>20</v>
      </c>
      <c r="AZ167" s="207" t="s">
        <v>983</v>
      </c>
      <c r="BA167" s="201" t="s">
        <v>830</v>
      </c>
    </row>
    <row r="168" spans="1:53" s="187" customFormat="1">
      <c r="A168" s="188" t="s">
        <v>827</v>
      </c>
      <c r="B168" s="255">
        <v>5679</v>
      </c>
      <c r="C168" s="255">
        <v>5679</v>
      </c>
      <c r="D168" s="190" t="s">
        <v>1121</v>
      </c>
      <c r="E168" s="191" t="s">
        <v>15</v>
      </c>
      <c r="F168" s="191" t="s">
        <v>59</v>
      </c>
      <c r="G168" s="191"/>
      <c r="H168" s="193">
        <f t="shared" si="21"/>
        <v>35.259</v>
      </c>
      <c r="I168" s="199">
        <v>9.6600000000000005E-2</v>
      </c>
      <c r="J168" s="194">
        <f t="shared" si="22"/>
        <v>2.8980000000000001</v>
      </c>
      <c r="K168" s="194">
        <f t="shared" si="23"/>
        <v>35.259</v>
      </c>
      <c r="L168" s="199">
        <v>9.6600000000000005E-2</v>
      </c>
      <c r="M168" s="194">
        <f t="shared" si="24"/>
        <v>2.8980000000000001</v>
      </c>
      <c r="N168" s="194">
        <f t="shared" si="25"/>
        <v>0</v>
      </c>
      <c r="O168" s="195"/>
      <c r="P168" s="195"/>
      <c r="Q168" s="195"/>
      <c r="R168" s="195"/>
      <c r="S168" s="195"/>
      <c r="T168" s="195"/>
      <c r="U168" s="195"/>
      <c r="V168" s="195"/>
      <c r="W168" s="195"/>
      <c r="X168" s="195"/>
      <c r="Y168" s="195"/>
      <c r="Z168" s="195"/>
      <c r="AA168" s="195"/>
      <c r="AB168" s="195"/>
      <c r="AC168" s="196"/>
      <c r="AD168" s="196"/>
      <c r="AE168" s="196"/>
      <c r="AF168" s="196"/>
      <c r="AG168" s="196"/>
      <c r="AH168" s="196"/>
      <c r="AI168" s="196"/>
      <c r="AJ168" s="195"/>
      <c r="AK168" s="195"/>
      <c r="AL168" s="195"/>
      <c r="AM168" s="195"/>
      <c r="AN168" s="195"/>
      <c r="AO168" s="195"/>
      <c r="AP168" s="195"/>
      <c r="AQ168" s="195"/>
      <c r="AR168" s="195"/>
      <c r="AS168" s="195"/>
      <c r="AT168" s="195"/>
      <c r="AU168" s="195"/>
      <c r="AV168" s="195"/>
      <c r="AW168" s="195"/>
      <c r="AX168" s="226">
        <v>20</v>
      </c>
      <c r="AY168" s="250" t="s">
        <v>851</v>
      </c>
      <c r="AZ168" s="256" t="s">
        <v>765</v>
      </c>
      <c r="BA168" s="201" t="s">
        <v>1122</v>
      </c>
    </row>
    <row r="169" spans="1:53" s="187" customFormat="1">
      <c r="A169" s="188" t="s">
        <v>827</v>
      </c>
      <c r="B169" s="258">
        <v>5778</v>
      </c>
      <c r="C169" s="258">
        <v>5778</v>
      </c>
      <c r="D169" s="190" t="s">
        <v>1123</v>
      </c>
      <c r="E169" s="191" t="s">
        <v>15</v>
      </c>
      <c r="F169" s="191" t="s">
        <v>59</v>
      </c>
      <c r="G169" s="191"/>
      <c r="H169" s="193">
        <f t="shared" si="21"/>
        <v>7.4460000000000006</v>
      </c>
      <c r="I169" s="199">
        <v>2.0400000000000001E-2</v>
      </c>
      <c r="J169" s="194">
        <f t="shared" si="22"/>
        <v>0.6120000000000001</v>
      </c>
      <c r="K169" s="194">
        <f t="shared" si="23"/>
        <v>7.4460000000000006</v>
      </c>
      <c r="L169" s="199">
        <v>2.0400000000000001E-2</v>
      </c>
      <c r="M169" s="194">
        <f t="shared" si="24"/>
        <v>0.6120000000000001</v>
      </c>
      <c r="N169" s="194">
        <f t="shared" si="25"/>
        <v>0</v>
      </c>
      <c r="O169" s="195"/>
      <c r="P169" s="195"/>
      <c r="Q169" s="195"/>
      <c r="R169" s="195"/>
      <c r="S169" s="195"/>
      <c r="T169" s="195"/>
      <c r="U169" s="195"/>
      <c r="V169" s="195"/>
      <c r="W169" s="195"/>
      <c r="X169" s="195"/>
      <c r="Y169" s="195"/>
      <c r="Z169" s="195"/>
      <c r="AA169" s="195"/>
      <c r="AB169" s="195"/>
      <c r="AC169" s="196"/>
      <c r="AD169" s="196"/>
      <c r="AE169" s="196"/>
      <c r="AF169" s="196"/>
      <c r="AG169" s="196"/>
      <c r="AH169" s="196"/>
      <c r="AI169" s="196"/>
      <c r="AJ169" s="195"/>
      <c r="AK169" s="195"/>
      <c r="AL169" s="195"/>
      <c r="AM169" s="195"/>
      <c r="AN169" s="195"/>
      <c r="AO169" s="195"/>
      <c r="AP169" s="195"/>
      <c r="AQ169" s="195"/>
      <c r="AR169" s="195"/>
      <c r="AS169" s="195"/>
      <c r="AT169" s="195"/>
      <c r="AU169" s="195"/>
      <c r="AV169" s="195"/>
      <c r="AW169" s="195"/>
      <c r="AX169" s="226" t="s">
        <v>515</v>
      </c>
      <c r="AY169" s="250" t="s">
        <v>515</v>
      </c>
      <c r="AZ169" s="259" t="s">
        <v>907</v>
      </c>
      <c r="BA169" s="235" t="s">
        <v>1124</v>
      </c>
    </row>
    <row r="170" spans="1:53" s="187" customFormat="1" ht="14.45" customHeight="1">
      <c r="A170" s="188" t="s">
        <v>827</v>
      </c>
      <c r="B170" s="258">
        <v>5782</v>
      </c>
      <c r="C170" s="258">
        <v>5782</v>
      </c>
      <c r="D170" s="190" t="s">
        <v>1125</v>
      </c>
      <c r="E170" s="191" t="s">
        <v>15</v>
      </c>
      <c r="F170" s="191" t="s">
        <v>59</v>
      </c>
      <c r="G170" s="192"/>
      <c r="H170" s="193">
        <f t="shared" si="21"/>
        <v>3.7230000000000003</v>
      </c>
      <c r="I170" s="199">
        <v>1.0200000000000001E-2</v>
      </c>
      <c r="J170" s="194">
        <f t="shared" si="22"/>
        <v>0.30600000000000005</v>
      </c>
      <c r="K170" s="194">
        <f t="shared" si="23"/>
        <v>18.2135</v>
      </c>
      <c r="L170" s="199">
        <v>4.99E-2</v>
      </c>
      <c r="M170" s="194">
        <f t="shared" si="24"/>
        <v>1.4969999999999999</v>
      </c>
      <c r="N170" s="194">
        <f t="shared" si="25"/>
        <v>3.9699999999999999E-2</v>
      </c>
      <c r="O170" s="195"/>
      <c r="P170" s="195"/>
      <c r="Q170" s="195"/>
      <c r="R170" s="195"/>
      <c r="S170" s="195"/>
      <c r="T170" s="195"/>
      <c r="U170" s="195"/>
      <c r="V170" s="195"/>
      <c r="W170" s="195"/>
      <c r="X170" s="195"/>
      <c r="Y170" s="195"/>
      <c r="Z170" s="195"/>
      <c r="AA170" s="195"/>
      <c r="AB170" s="195"/>
      <c r="AC170" s="196"/>
      <c r="AD170" s="196"/>
      <c r="AE170" s="196"/>
      <c r="AF170" s="196"/>
      <c r="AG170" s="196"/>
      <c r="AH170" s="196"/>
      <c r="AI170" s="196"/>
      <c r="AJ170" s="195"/>
      <c r="AK170" s="195"/>
      <c r="AL170" s="195"/>
      <c r="AM170" s="195"/>
      <c r="AN170" s="195"/>
      <c r="AO170" s="195"/>
      <c r="AP170" s="195"/>
      <c r="AQ170" s="195"/>
      <c r="AR170" s="195"/>
      <c r="AS170" s="195"/>
      <c r="AT170" s="195"/>
      <c r="AU170" s="195"/>
      <c r="AV170" s="195"/>
      <c r="AW170" s="195"/>
      <c r="AX170" s="226">
        <v>20</v>
      </c>
      <c r="AY170" s="250">
        <v>20</v>
      </c>
      <c r="AZ170" s="259" t="s">
        <v>1126</v>
      </c>
      <c r="BA170" s="235" t="s">
        <v>833</v>
      </c>
    </row>
    <row r="171" spans="1:53" s="187" customFormat="1">
      <c r="A171" s="188" t="s">
        <v>827</v>
      </c>
      <c r="B171" s="258">
        <v>5850</v>
      </c>
      <c r="C171" s="258">
        <v>5850</v>
      </c>
      <c r="D171" s="214" t="s">
        <v>1127</v>
      </c>
      <c r="E171" s="191" t="s">
        <v>15</v>
      </c>
      <c r="F171" s="191" t="s">
        <v>59</v>
      </c>
      <c r="G171" s="191"/>
      <c r="H171" s="193">
        <f t="shared" si="21"/>
        <v>110.376</v>
      </c>
      <c r="I171" s="199">
        <v>0.3024</v>
      </c>
      <c r="J171" s="194">
        <f t="shared" si="22"/>
        <v>9.0719999999999992</v>
      </c>
      <c r="K171" s="194" t="s">
        <v>1128</v>
      </c>
      <c r="L171" s="199" t="s">
        <v>1128</v>
      </c>
      <c r="M171" s="194" t="s">
        <v>1128</v>
      </c>
      <c r="N171" s="194" t="s">
        <v>1128</v>
      </c>
      <c r="O171" s="195"/>
      <c r="P171" s="195"/>
      <c r="Q171" s="195"/>
      <c r="R171" s="195"/>
      <c r="S171" s="195"/>
      <c r="T171" s="195"/>
      <c r="U171" s="195"/>
      <c r="V171" s="195"/>
      <c r="W171" s="195"/>
      <c r="X171" s="195"/>
      <c r="Y171" s="195"/>
      <c r="Z171" s="195"/>
      <c r="AA171" s="195"/>
      <c r="AB171" s="195"/>
      <c r="AC171" s="196"/>
      <c r="AD171" s="196"/>
      <c r="AE171" s="196"/>
      <c r="AF171" s="196"/>
      <c r="AG171" s="196"/>
      <c r="AH171" s="196"/>
      <c r="AI171" s="196"/>
      <c r="AJ171" s="195"/>
      <c r="AK171" s="195"/>
      <c r="AL171" s="195"/>
      <c r="AM171" s="195"/>
      <c r="AN171" s="195"/>
      <c r="AO171" s="195"/>
      <c r="AP171" s="195"/>
      <c r="AQ171" s="195"/>
      <c r="AR171" s="195"/>
      <c r="AS171" s="195"/>
      <c r="AT171" s="195"/>
      <c r="AU171" s="195"/>
      <c r="AV171" s="195"/>
      <c r="AW171" s="195"/>
      <c r="AX171" s="241" t="s">
        <v>515</v>
      </c>
      <c r="AY171" s="249" t="s">
        <v>515</v>
      </c>
      <c r="AZ171" s="259" t="s">
        <v>1129</v>
      </c>
      <c r="BA171" s="235" t="s">
        <v>878</v>
      </c>
    </row>
    <row r="172" spans="1:53" s="187" customFormat="1">
      <c r="A172" s="188" t="s">
        <v>827</v>
      </c>
      <c r="B172" s="258">
        <v>5887</v>
      </c>
      <c r="C172" s="258">
        <v>5887</v>
      </c>
      <c r="D172" s="214" t="s">
        <v>946</v>
      </c>
      <c r="E172" s="191" t="s">
        <v>15</v>
      </c>
      <c r="F172" s="191" t="s">
        <v>59</v>
      </c>
      <c r="G172" s="192"/>
      <c r="H172" s="193">
        <f t="shared" si="21"/>
        <v>7.7015000000000002</v>
      </c>
      <c r="I172" s="199">
        <v>2.1100000000000001E-2</v>
      </c>
      <c r="J172" s="194">
        <f t="shared" si="22"/>
        <v>0.63300000000000001</v>
      </c>
      <c r="K172" s="194">
        <f t="shared" ref="K172:K230" si="26">L172*365</f>
        <v>7.7015000000000002</v>
      </c>
      <c r="L172" s="199">
        <v>2.1100000000000001E-2</v>
      </c>
      <c r="M172" s="194">
        <f t="shared" ref="M172:M230" si="27">L172*30</f>
        <v>0.63300000000000001</v>
      </c>
      <c r="N172" s="194">
        <f t="shared" ref="N172:N230" si="28">L172-I172</f>
        <v>0</v>
      </c>
      <c r="O172" s="195"/>
      <c r="P172" s="195"/>
      <c r="Q172" s="195"/>
      <c r="R172" s="195"/>
      <c r="S172" s="195"/>
      <c r="T172" s="195"/>
      <c r="U172" s="195"/>
      <c r="V172" s="195"/>
      <c r="W172" s="195"/>
      <c r="X172" s="195"/>
      <c r="Y172" s="195"/>
      <c r="Z172" s="195"/>
      <c r="AA172" s="195"/>
      <c r="AB172" s="195"/>
      <c r="AC172" s="196"/>
      <c r="AD172" s="196"/>
      <c r="AE172" s="196"/>
      <c r="AF172" s="196"/>
      <c r="AG172" s="196"/>
      <c r="AH172" s="196"/>
      <c r="AI172" s="196"/>
      <c r="AJ172" s="195"/>
      <c r="AK172" s="195"/>
      <c r="AL172" s="195"/>
      <c r="AM172" s="195"/>
      <c r="AN172" s="195"/>
      <c r="AO172" s="195"/>
      <c r="AP172" s="195"/>
      <c r="AQ172" s="195"/>
      <c r="AR172" s="195"/>
      <c r="AS172" s="195"/>
      <c r="AT172" s="195"/>
      <c r="AU172" s="195"/>
      <c r="AV172" s="195"/>
      <c r="AW172" s="195"/>
      <c r="AX172" s="241">
        <v>20</v>
      </c>
      <c r="AY172" s="249">
        <v>20</v>
      </c>
      <c r="AZ172" s="259" t="s">
        <v>765</v>
      </c>
      <c r="BA172" s="235" t="s">
        <v>855</v>
      </c>
    </row>
    <row r="173" spans="1:53" s="187" customFormat="1">
      <c r="A173" s="188" t="s">
        <v>827</v>
      </c>
      <c r="B173" s="258">
        <v>6054</v>
      </c>
      <c r="C173" s="258">
        <v>6054</v>
      </c>
      <c r="D173" s="214" t="s">
        <v>1130</v>
      </c>
      <c r="E173" s="191" t="s">
        <v>597</v>
      </c>
      <c r="F173" s="191" t="s">
        <v>1131</v>
      </c>
      <c r="G173" s="191"/>
      <c r="H173" s="193">
        <f t="shared" si="21"/>
        <v>33.616500000000002</v>
      </c>
      <c r="I173" s="199">
        <v>9.2100000000000001E-2</v>
      </c>
      <c r="J173" s="194">
        <f t="shared" si="22"/>
        <v>2.7629999999999999</v>
      </c>
      <c r="K173" s="194">
        <f t="shared" si="26"/>
        <v>33.616500000000002</v>
      </c>
      <c r="L173" s="199">
        <v>9.2100000000000001E-2</v>
      </c>
      <c r="M173" s="194">
        <f t="shared" si="27"/>
        <v>2.7629999999999999</v>
      </c>
      <c r="N173" s="194">
        <f t="shared" si="28"/>
        <v>0</v>
      </c>
      <c r="O173" s="195"/>
      <c r="P173" s="195"/>
      <c r="Q173" s="195"/>
      <c r="R173" s="195"/>
      <c r="S173" s="195"/>
      <c r="T173" s="195"/>
      <c r="U173" s="195"/>
      <c r="V173" s="195"/>
      <c r="W173" s="195"/>
      <c r="X173" s="195"/>
      <c r="Y173" s="195"/>
      <c r="Z173" s="195"/>
      <c r="AA173" s="195"/>
      <c r="AB173" s="195"/>
      <c r="AC173" s="196"/>
      <c r="AD173" s="196"/>
      <c r="AE173" s="196"/>
      <c r="AF173" s="196"/>
      <c r="AG173" s="196"/>
      <c r="AH173" s="196"/>
      <c r="AI173" s="196"/>
      <c r="AJ173" s="195"/>
      <c r="AK173" s="195"/>
      <c r="AL173" s="195"/>
      <c r="AM173" s="195"/>
      <c r="AN173" s="195"/>
      <c r="AO173" s="195"/>
      <c r="AP173" s="195"/>
      <c r="AQ173" s="195"/>
      <c r="AR173" s="195"/>
      <c r="AS173" s="195"/>
      <c r="AT173" s="195"/>
      <c r="AU173" s="195"/>
      <c r="AV173" s="195"/>
      <c r="AW173" s="195"/>
      <c r="AX173" s="226">
        <v>20</v>
      </c>
      <c r="AY173" s="250" t="s">
        <v>851</v>
      </c>
      <c r="AZ173" s="259" t="s">
        <v>835</v>
      </c>
      <c r="BA173" s="235" t="s">
        <v>833</v>
      </c>
    </row>
    <row r="174" spans="1:53" s="187" customFormat="1" ht="37.5">
      <c r="A174" s="188" t="s">
        <v>827</v>
      </c>
      <c r="B174" s="258">
        <v>6068</v>
      </c>
      <c r="C174" s="258">
        <v>6068</v>
      </c>
      <c r="D174" s="214" t="s">
        <v>1132</v>
      </c>
      <c r="E174" s="191" t="s">
        <v>15</v>
      </c>
      <c r="F174" s="191" t="s">
        <v>59</v>
      </c>
      <c r="G174" s="191" t="s">
        <v>782</v>
      </c>
      <c r="H174" s="193">
        <f t="shared" si="21"/>
        <v>523.08150000000001</v>
      </c>
      <c r="I174" s="199">
        <v>1.4331</v>
      </c>
      <c r="J174" s="194">
        <f t="shared" si="22"/>
        <v>42.993000000000002</v>
      </c>
      <c r="K174" s="194">
        <f t="shared" si="26"/>
        <v>523.08150000000001</v>
      </c>
      <c r="L174" s="199">
        <v>1.4331</v>
      </c>
      <c r="M174" s="194">
        <f t="shared" si="27"/>
        <v>42.993000000000002</v>
      </c>
      <c r="N174" s="194">
        <f t="shared" si="28"/>
        <v>0</v>
      </c>
      <c r="O174" s="195"/>
      <c r="P174" s="195"/>
      <c r="Q174" s="195"/>
      <c r="R174" s="195"/>
      <c r="S174" s="195"/>
      <c r="T174" s="195"/>
      <c r="U174" s="195"/>
      <c r="V174" s="195"/>
      <c r="W174" s="195"/>
      <c r="X174" s="195"/>
      <c r="Y174" s="195"/>
      <c r="Z174" s="195"/>
      <c r="AA174" s="195"/>
      <c r="AB174" s="195"/>
      <c r="AC174" s="196"/>
      <c r="AD174" s="196"/>
      <c r="AE174" s="196"/>
      <c r="AF174" s="196"/>
      <c r="AG174" s="196"/>
      <c r="AH174" s="196"/>
      <c r="AI174" s="196"/>
      <c r="AJ174" s="195"/>
      <c r="AK174" s="195"/>
      <c r="AL174" s="195"/>
      <c r="AM174" s="195"/>
      <c r="AN174" s="195"/>
      <c r="AO174" s="195"/>
      <c r="AP174" s="195"/>
      <c r="AQ174" s="195"/>
      <c r="AR174" s="195"/>
      <c r="AS174" s="195"/>
      <c r="AT174" s="195"/>
      <c r="AU174" s="195"/>
      <c r="AV174" s="195"/>
      <c r="AW174" s="195"/>
      <c r="AX174" s="226">
        <v>6</v>
      </c>
      <c r="AY174" s="250" t="s">
        <v>851</v>
      </c>
      <c r="AZ174" s="216" t="s">
        <v>1133</v>
      </c>
      <c r="BA174" s="235" t="s">
        <v>1134</v>
      </c>
    </row>
    <row r="175" spans="1:53" s="187" customFormat="1">
      <c r="A175" s="188" t="s">
        <v>827</v>
      </c>
      <c r="B175" s="258">
        <v>6145</v>
      </c>
      <c r="C175" s="258">
        <v>6145</v>
      </c>
      <c r="D175" s="214" t="s">
        <v>1135</v>
      </c>
      <c r="E175" s="191" t="s">
        <v>15</v>
      </c>
      <c r="F175" s="191" t="s">
        <v>59</v>
      </c>
      <c r="G175" s="191"/>
      <c r="H175" s="193">
        <f t="shared" si="21"/>
        <v>3.7230000000000003</v>
      </c>
      <c r="I175" s="199">
        <v>1.0200000000000001E-2</v>
      </c>
      <c r="J175" s="194">
        <f t="shared" si="22"/>
        <v>0.30600000000000005</v>
      </c>
      <c r="K175" s="194">
        <f t="shared" si="26"/>
        <v>3.7230000000000003</v>
      </c>
      <c r="L175" s="199">
        <v>1.0200000000000001E-2</v>
      </c>
      <c r="M175" s="194">
        <f t="shared" si="27"/>
        <v>0.30600000000000005</v>
      </c>
      <c r="N175" s="194">
        <f t="shared" si="28"/>
        <v>0</v>
      </c>
      <c r="O175" s="195"/>
      <c r="P175" s="195"/>
      <c r="Q175" s="195"/>
      <c r="R175" s="195"/>
      <c r="S175" s="195"/>
      <c r="T175" s="195"/>
      <c r="U175" s="195"/>
      <c r="V175" s="195"/>
      <c r="W175" s="195"/>
      <c r="X175" s="195"/>
      <c r="Y175" s="195"/>
      <c r="Z175" s="195"/>
      <c r="AA175" s="195"/>
      <c r="AB175" s="195"/>
      <c r="AC175" s="196"/>
      <c r="AD175" s="196"/>
      <c r="AE175" s="196"/>
      <c r="AF175" s="196"/>
      <c r="AG175" s="196"/>
      <c r="AH175" s="196"/>
      <c r="AI175" s="196"/>
      <c r="AJ175" s="195"/>
      <c r="AK175" s="195"/>
      <c r="AL175" s="195"/>
      <c r="AM175" s="195"/>
      <c r="AN175" s="195"/>
      <c r="AO175" s="195"/>
      <c r="AP175" s="195"/>
      <c r="AQ175" s="195"/>
      <c r="AR175" s="195"/>
      <c r="AS175" s="195"/>
      <c r="AT175" s="195"/>
      <c r="AU175" s="195"/>
      <c r="AV175" s="195"/>
      <c r="AW175" s="195"/>
      <c r="AX175" s="226">
        <v>10</v>
      </c>
      <c r="AY175" s="250">
        <v>10</v>
      </c>
      <c r="AZ175" s="259" t="s">
        <v>1136</v>
      </c>
      <c r="BA175" s="235" t="s">
        <v>878</v>
      </c>
    </row>
    <row r="176" spans="1:53" s="187" customFormat="1">
      <c r="A176" s="188" t="s">
        <v>827</v>
      </c>
      <c r="B176" s="258">
        <v>6155</v>
      </c>
      <c r="C176" s="258">
        <v>6155</v>
      </c>
      <c r="D176" s="214" t="s">
        <v>1137</v>
      </c>
      <c r="E176" s="191" t="s">
        <v>15</v>
      </c>
      <c r="F176" s="191" t="s">
        <v>58</v>
      </c>
      <c r="G176" s="191"/>
      <c r="H176" s="193">
        <f t="shared" si="21"/>
        <v>77.270499999999998</v>
      </c>
      <c r="I176" s="199">
        <v>0.2117</v>
      </c>
      <c r="J176" s="194">
        <f t="shared" si="22"/>
        <v>6.351</v>
      </c>
      <c r="K176" s="194">
        <f t="shared" si="26"/>
        <v>77.270499999999998</v>
      </c>
      <c r="L176" s="199">
        <v>0.2117</v>
      </c>
      <c r="M176" s="194">
        <f t="shared" si="27"/>
        <v>6.351</v>
      </c>
      <c r="N176" s="194">
        <f t="shared" si="28"/>
        <v>0</v>
      </c>
      <c r="O176" s="195"/>
      <c r="P176" s="195"/>
      <c r="Q176" s="195"/>
      <c r="R176" s="195"/>
      <c r="S176" s="195"/>
      <c r="T176" s="195"/>
      <c r="U176" s="195"/>
      <c r="V176" s="195"/>
      <c r="W176" s="195"/>
      <c r="X176" s="195"/>
      <c r="Y176" s="195"/>
      <c r="Z176" s="195"/>
      <c r="AA176" s="195"/>
      <c r="AB176" s="195"/>
      <c r="AC176" s="196"/>
      <c r="AD176" s="196"/>
      <c r="AE176" s="196"/>
      <c r="AF176" s="196"/>
      <c r="AG176" s="196"/>
      <c r="AH176" s="196"/>
      <c r="AI176" s="196"/>
      <c r="AJ176" s="195"/>
      <c r="AK176" s="195"/>
      <c r="AL176" s="195"/>
      <c r="AM176" s="195"/>
      <c r="AN176" s="195"/>
      <c r="AO176" s="195"/>
      <c r="AP176" s="195"/>
      <c r="AQ176" s="195"/>
      <c r="AR176" s="195"/>
      <c r="AS176" s="195"/>
      <c r="AT176" s="195"/>
      <c r="AU176" s="195"/>
      <c r="AV176" s="195"/>
      <c r="AW176" s="195"/>
      <c r="AX176" s="226" t="s">
        <v>515</v>
      </c>
      <c r="AY176" s="226" t="s">
        <v>515</v>
      </c>
      <c r="AZ176" s="259" t="s">
        <v>907</v>
      </c>
      <c r="BA176" s="235" t="s">
        <v>1138</v>
      </c>
    </row>
    <row r="177" spans="1:53" s="187" customFormat="1">
      <c r="A177" s="188" t="s">
        <v>827</v>
      </c>
      <c r="B177" s="213">
        <v>6174</v>
      </c>
      <c r="C177" s="213">
        <v>6174</v>
      </c>
      <c r="D177" s="214" t="s">
        <v>1139</v>
      </c>
      <c r="E177" s="191" t="s">
        <v>15</v>
      </c>
      <c r="F177" s="191" t="s">
        <v>56</v>
      </c>
      <c r="G177" s="191"/>
      <c r="H177" s="193">
        <f t="shared" si="21"/>
        <v>42.777999999999999</v>
      </c>
      <c r="I177" s="194">
        <v>0.1172</v>
      </c>
      <c r="J177" s="194">
        <f t="shared" si="22"/>
        <v>3.516</v>
      </c>
      <c r="K177" s="194">
        <f t="shared" si="26"/>
        <v>42.777999999999999</v>
      </c>
      <c r="L177" s="194">
        <v>0.1172</v>
      </c>
      <c r="M177" s="194">
        <f t="shared" si="27"/>
        <v>3.516</v>
      </c>
      <c r="N177" s="194">
        <f t="shared" si="28"/>
        <v>0</v>
      </c>
      <c r="O177" s="195"/>
      <c r="P177" s="195"/>
      <c r="Q177" s="195"/>
      <c r="R177" s="195"/>
      <c r="S177" s="195"/>
      <c r="T177" s="195"/>
      <c r="U177" s="195"/>
      <c r="V177" s="195"/>
      <c r="W177" s="195"/>
      <c r="X177" s="195"/>
      <c r="Y177" s="195"/>
      <c r="Z177" s="195"/>
      <c r="AA177" s="195"/>
      <c r="AB177" s="195"/>
      <c r="AC177" s="196"/>
      <c r="AD177" s="196"/>
      <c r="AE177" s="196"/>
      <c r="AF177" s="196"/>
      <c r="AG177" s="196"/>
      <c r="AH177" s="196"/>
      <c r="AI177" s="196"/>
      <c r="AJ177" s="195"/>
      <c r="AK177" s="195"/>
      <c r="AL177" s="195"/>
      <c r="AM177" s="195"/>
      <c r="AN177" s="195"/>
      <c r="AO177" s="195"/>
      <c r="AP177" s="195"/>
      <c r="AQ177" s="195"/>
      <c r="AR177" s="195"/>
      <c r="AS177" s="195"/>
      <c r="AT177" s="195"/>
      <c r="AU177" s="195"/>
      <c r="AV177" s="195"/>
      <c r="AW177" s="195"/>
      <c r="AX177" s="191">
        <v>20</v>
      </c>
      <c r="AY177" s="215" t="s">
        <v>851</v>
      </c>
      <c r="AZ177" s="216" t="s">
        <v>835</v>
      </c>
      <c r="BA177" s="274" t="s">
        <v>830</v>
      </c>
    </row>
    <row r="178" spans="1:53" s="187" customFormat="1">
      <c r="A178" s="188" t="s">
        <v>827</v>
      </c>
      <c r="B178" s="258">
        <v>6201</v>
      </c>
      <c r="C178" s="258">
        <v>6201</v>
      </c>
      <c r="D178" s="214" t="s">
        <v>1140</v>
      </c>
      <c r="E178" s="191" t="s">
        <v>15</v>
      </c>
      <c r="F178" s="191" t="s">
        <v>59</v>
      </c>
      <c r="G178" s="224"/>
      <c r="H178" s="193">
        <f t="shared" si="21"/>
        <v>3.5405000000000002</v>
      </c>
      <c r="I178" s="199">
        <v>9.7000000000000003E-3</v>
      </c>
      <c r="J178" s="194">
        <f t="shared" si="22"/>
        <v>0.29100000000000004</v>
      </c>
      <c r="K178" s="194">
        <f t="shared" si="26"/>
        <v>3.5405000000000002</v>
      </c>
      <c r="L178" s="199">
        <v>9.7000000000000003E-3</v>
      </c>
      <c r="M178" s="194">
        <f t="shared" si="27"/>
        <v>0.29100000000000004</v>
      </c>
      <c r="N178" s="194">
        <f t="shared" si="28"/>
        <v>0</v>
      </c>
      <c r="O178" s="195"/>
      <c r="P178" s="195"/>
      <c r="Q178" s="195"/>
      <c r="R178" s="195"/>
      <c r="S178" s="195"/>
      <c r="T178" s="195"/>
      <c r="U178" s="195"/>
      <c r="V178" s="195"/>
      <c r="W178" s="195"/>
      <c r="X178" s="195"/>
      <c r="Y178" s="195"/>
      <c r="Z178" s="195"/>
      <c r="AA178" s="195"/>
      <c r="AB178" s="195"/>
      <c r="AC178" s="196"/>
      <c r="AD178" s="196"/>
      <c r="AE178" s="196"/>
      <c r="AF178" s="196"/>
      <c r="AG178" s="196"/>
      <c r="AH178" s="196"/>
      <c r="AI178" s="196"/>
      <c r="AJ178" s="195"/>
      <c r="AK178" s="195"/>
      <c r="AL178" s="195"/>
      <c r="AM178" s="195"/>
      <c r="AN178" s="195"/>
      <c r="AO178" s="195"/>
      <c r="AP178" s="195"/>
      <c r="AQ178" s="195"/>
      <c r="AR178" s="195"/>
      <c r="AS178" s="195"/>
      <c r="AT178" s="195"/>
      <c r="AU178" s="195"/>
      <c r="AV178" s="195"/>
      <c r="AW178" s="195"/>
      <c r="AX178" s="241">
        <v>20</v>
      </c>
      <c r="AY178" s="249">
        <v>20</v>
      </c>
      <c r="AZ178" s="259" t="s">
        <v>884</v>
      </c>
      <c r="BA178" s="214" t="s">
        <v>855</v>
      </c>
    </row>
    <row r="179" spans="1:53" s="187" customFormat="1">
      <c r="A179" s="188" t="s">
        <v>827</v>
      </c>
      <c r="B179" s="213">
        <v>6278</v>
      </c>
      <c r="C179" s="213">
        <v>6278</v>
      </c>
      <c r="D179" s="214" t="s">
        <v>1141</v>
      </c>
      <c r="E179" s="191" t="s">
        <v>15</v>
      </c>
      <c r="F179" s="191" t="s">
        <v>59</v>
      </c>
      <c r="G179" s="224"/>
      <c r="H179" s="193">
        <f t="shared" si="21"/>
        <v>99.535499999999999</v>
      </c>
      <c r="I179" s="194">
        <v>0.2727</v>
      </c>
      <c r="J179" s="194">
        <f t="shared" si="22"/>
        <v>8.1809999999999992</v>
      </c>
      <c r="K179" s="194">
        <f t="shared" si="26"/>
        <v>99.535499999999999</v>
      </c>
      <c r="L179" s="194">
        <v>0.2727</v>
      </c>
      <c r="M179" s="194">
        <f t="shared" si="27"/>
        <v>8.1809999999999992</v>
      </c>
      <c r="N179" s="194">
        <f t="shared" si="28"/>
        <v>0</v>
      </c>
      <c r="O179" s="195"/>
      <c r="P179" s="195"/>
      <c r="Q179" s="195"/>
      <c r="R179" s="195"/>
      <c r="S179" s="195"/>
      <c r="T179" s="195"/>
      <c r="U179" s="195"/>
      <c r="V179" s="195"/>
      <c r="W179" s="195"/>
      <c r="X179" s="195"/>
      <c r="Y179" s="195"/>
      <c r="Z179" s="195"/>
      <c r="AA179" s="195"/>
      <c r="AB179" s="195"/>
      <c r="AC179" s="196"/>
      <c r="AD179" s="196"/>
      <c r="AE179" s="196"/>
      <c r="AF179" s="196"/>
      <c r="AG179" s="196"/>
      <c r="AH179" s="196"/>
      <c r="AI179" s="196"/>
      <c r="AJ179" s="195"/>
      <c r="AK179" s="195"/>
      <c r="AL179" s="195"/>
      <c r="AM179" s="195"/>
      <c r="AN179" s="195"/>
      <c r="AO179" s="195"/>
      <c r="AP179" s="195"/>
      <c r="AQ179" s="195"/>
      <c r="AR179" s="195"/>
      <c r="AS179" s="195"/>
      <c r="AT179" s="195"/>
      <c r="AU179" s="195"/>
      <c r="AV179" s="195"/>
      <c r="AW179" s="195"/>
      <c r="AX179" s="224">
        <v>10</v>
      </c>
      <c r="AY179" s="225">
        <v>20</v>
      </c>
      <c r="AZ179" s="234" t="s">
        <v>765</v>
      </c>
      <c r="BA179" s="245" t="s">
        <v>908</v>
      </c>
    </row>
    <row r="180" spans="1:53" s="187" customFormat="1">
      <c r="A180" s="188" t="s">
        <v>827</v>
      </c>
      <c r="B180" s="255">
        <v>6344</v>
      </c>
      <c r="C180" s="255">
        <v>6344</v>
      </c>
      <c r="D180" s="190" t="s">
        <v>1142</v>
      </c>
      <c r="E180" s="191" t="s">
        <v>15</v>
      </c>
      <c r="F180" s="191" t="s">
        <v>59</v>
      </c>
      <c r="G180" s="191" t="s">
        <v>782</v>
      </c>
      <c r="H180" s="193">
        <f t="shared" si="21"/>
        <v>66.101500000000001</v>
      </c>
      <c r="I180" s="199">
        <v>0.18110000000000001</v>
      </c>
      <c r="J180" s="194">
        <f t="shared" si="22"/>
        <v>5.4330000000000007</v>
      </c>
      <c r="K180" s="194">
        <f t="shared" si="26"/>
        <v>66.101500000000001</v>
      </c>
      <c r="L180" s="199">
        <v>0.18110000000000001</v>
      </c>
      <c r="M180" s="194">
        <f t="shared" si="27"/>
        <v>5.4330000000000007</v>
      </c>
      <c r="N180" s="194">
        <f t="shared" si="28"/>
        <v>0</v>
      </c>
      <c r="O180" s="195"/>
      <c r="P180" s="195"/>
      <c r="Q180" s="195"/>
      <c r="R180" s="195"/>
      <c r="S180" s="195"/>
      <c r="T180" s="195"/>
      <c r="U180" s="195"/>
      <c r="V180" s="195"/>
      <c r="W180" s="195"/>
      <c r="X180" s="195"/>
      <c r="Y180" s="195"/>
      <c r="Z180" s="195"/>
      <c r="AA180" s="195"/>
      <c r="AB180" s="195"/>
      <c r="AC180" s="196"/>
      <c r="AD180" s="196"/>
      <c r="AE180" s="196"/>
      <c r="AF180" s="196"/>
      <c r="AG180" s="196"/>
      <c r="AH180" s="196"/>
      <c r="AI180" s="196"/>
      <c r="AJ180" s="195"/>
      <c r="AK180" s="195"/>
      <c r="AL180" s="195"/>
      <c r="AM180" s="195"/>
      <c r="AN180" s="195"/>
      <c r="AO180" s="195"/>
      <c r="AP180" s="195"/>
      <c r="AQ180" s="195"/>
      <c r="AR180" s="195"/>
      <c r="AS180" s="195"/>
      <c r="AT180" s="195"/>
      <c r="AU180" s="195"/>
      <c r="AV180" s="195"/>
      <c r="AW180" s="195"/>
      <c r="AX180" s="226">
        <v>20</v>
      </c>
      <c r="AY180" s="250" t="s">
        <v>851</v>
      </c>
      <c r="AZ180" s="256" t="s">
        <v>1143</v>
      </c>
      <c r="BA180" s="190" t="s">
        <v>830</v>
      </c>
    </row>
    <row r="181" spans="1:53" s="187" customFormat="1">
      <c r="A181" s="188" t="s">
        <v>827</v>
      </c>
      <c r="B181" s="255">
        <v>6481</v>
      </c>
      <c r="C181" s="255">
        <v>6481</v>
      </c>
      <c r="D181" s="190" t="s">
        <v>1144</v>
      </c>
      <c r="E181" s="191" t="s">
        <v>15</v>
      </c>
      <c r="F181" s="191" t="s">
        <v>59</v>
      </c>
      <c r="G181" s="191"/>
      <c r="H181" s="193">
        <f t="shared" si="21"/>
        <v>43.945999999999998</v>
      </c>
      <c r="I181" s="199">
        <v>0.12039999999999999</v>
      </c>
      <c r="J181" s="194">
        <f t="shared" si="22"/>
        <v>3.6119999999999997</v>
      </c>
      <c r="K181" s="194">
        <f t="shared" si="26"/>
        <v>43.945999999999998</v>
      </c>
      <c r="L181" s="199">
        <v>0.12039999999999999</v>
      </c>
      <c r="M181" s="194">
        <f t="shared" si="27"/>
        <v>3.6119999999999997</v>
      </c>
      <c r="N181" s="194">
        <f t="shared" si="28"/>
        <v>0</v>
      </c>
      <c r="O181" s="195"/>
      <c r="P181" s="195"/>
      <c r="Q181" s="195"/>
      <c r="R181" s="195"/>
      <c r="S181" s="195"/>
      <c r="T181" s="195"/>
      <c r="U181" s="195"/>
      <c r="V181" s="195"/>
      <c r="W181" s="195"/>
      <c r="X181" s="195"/>
      <c r="Y181" s="195"/>
      <c r="Z181" s="195"/>
      <c r="AA181" s="195"/>
      <c r="AB181" s="195"/>
      <c r="AC181" s="196"/>
      <c r="AD181" s="196"/>
      <c r="AE181" s="196"/>
      <c r="AF181" s="196"/>
      <c r="AG181" s="196"/>
      <c r="AH181" s="196"/>
      <c r="AI181" s="196"/>
      <c r="AJ181" s="195"/>
      <c r="AK181" s="195"/>
      <c r="AL181" s="195"/>
      <c r="AM181" s="195"/>
      <c r="AN181" s="195"/>
      <c r="AO181" s="195"/>
      <c r="AP181" s="195"/>
      <c r="AQ181" s="195"/>
      <c r="AR181" s="195"/>
      <c r="AS181" s="195"/>
      <c r="AT181" s="195"/>
      <c r="AU181" s="195"/>
      <c r="AV181" s="195"/>
      <c r="AW181" s="195"/>
      <c r="AX181" s="226">
        <v>20</v>
      </c>
      <c r="AY181" s="226" t="s">
        <v>851</v>
      </c>
      <c r="AZ181" s="256" t="s">
        <v>765</v>
      </c>
      <c r="BA181" s="190" t="s">
        <v>830</v>
      </c>
    </row>
    <row r="182" spans="1:53" s="187" customFormat="1">
      <c r="A182" s="188" t="s">
        <v>827</v>
      </c>
      <c r="B182" s="189">
        <v>6505</v>
      </c>
      <c r="C182" s="189">
        <v>6505</v>
      </c>
      <c r="D182" s="190" t="s">
        <v>1145</v>
      </c>
      <c r="E182" s="191" t="s">
        <v>15</v>
      </c>
      <c r="F182" s="191" t="s">
        <v>56</v>
      </c>
      <c r="G182" s="191"/>
      <c r="H182" s="193">
        <f t="shared" si="21"/>
        <v>1856.0250000000001</v>
      </c>
      <c r="I182" s="194">
        <v>5.085</v>
      </c>
      <c r="J182" s="194">
        <f t="shared" si="22"/>
        <v>152.55000000000001</v>
      </c>
      <c r="K182" s="194">
        <f t="shared" si="26"/>
        <v>2825.1306600000003</v>
      </c>
      <c r="L182" s="194">
        <v>7.7400840000000004</v>
      </c>
      <c r="M182" s="194">
        <f t="shared" si="27"/>
        <v>232.20252000000002</v>
      </c>
      <c r="N182" s="194">
        <f t="shared" si="28"/>
        <v>2.6550840000000004</v>
      </c>
      <c r="O182" s="195"/>
      <c r="P182" s="195"/>
      <c r="Q182" s="195"/>
      <c r="R182" s="195"/>
      <c r="S182" s="195"/>
      <c r="T182" s="195"/>
      <c r="U182" s="195"/>
      <c r="V182" s="195"/>
      <c r="W182" s="195"/>
      <c r="X182" s="195"/>
      <c r="Y182" s="195"/>
      <c r="Z182" s="195"/>
      <c r="AA182" s="195"/>
      <c r="AB182" s="195"/>
      <c r="AC182" s="196"/>
      <c r="AD182" s="196"/>
      <c r="AE182" s="196"/>
      <c r="AF182" s="196"/>
      <c r="AG182" s="196"/>
      <c r="AH182" s="196"/>
      <c r="AI182" s="196"/>
      <c r="AJ182" s="195"/>
      <c r="AK182" s="195"/>
      <c r="AL182" s="195"/>
      <c r="AM182" s="195"/>
      <c r="AN182" s="195"/>
      <c r="AO182" s="195"/>
      <c r="AP182" s="195"/>
      <c r="AQ182" s="195"/>
      <c r="AR182" s="195"/>
      <c r="AS182" s="195"/>
      <c r="AT182" s="195"/>
      <c r="AU182" s="195"/>
      <c r="AV182" s="195"/>
      <c r="AW182" s="195"/>
      <c r="AX182" s="191">
        <v>20</v>
      </c>
      <c r="AY182" s="215" t="s">
        <v>851</v>
      </c>
      <c r="AZ182" s="207" t="s">
        <v>1146</v>
      </c>
      <c r="BA182" s="188" t="s">
        <v>1147</v>
      </c>
    </row>
    <row r="183" spans="1:53" s="187" customFormat="1" ht="37.5">
      <c r="A183" s="188" t="s">
        <v>827</v>
      </c>
      <c r="B183" s="189">
        <v>6507</v>
      </c>
      <c r="C183" s="189">
        <v>6507</v>
      </c>
      <c r="D183" s="190" t="s">
        <v>1148</v>
      </c>
      <c r="E183" s="191" t="s">
        <v>15</v>
      </c>
      <c r="F183" s="191" t="s">
        <v>56</v>
      </c>
      <c r="G183" s="191"/>
      <c r="H183" s="193">
        <f t="shared" si="21"/>
        <v>731.24099999999999</v>
      </c>
      <c r="I183" s="194">
        <v>2.0034000000000001</v>
      </c>
      <c r="J183" s="194">
        <f t="shared" si="22"/>
        <v>60.102000000000004</v>
      </c>
      <c r="K183" s="194">
        <f t="shared" si="26"/>
        <v>731.24099999999999</v>
      </c>
      <c r="L183" s="194">
        <v>2.0034000000000001</v>
      </c>
      <c r="M183" s="194">
        <f t="shared" si="27"/>
        <v>60.102000000000004</v>
      </c>
      <c r="N183" s="194">
        <f t="shared" si="28"/>
        <v>0</v>
      </c>
      <c r="O183" s="195"/>
      <c r="P183" s="195"/>
      <c r="Q183" s="195"/>
      <c r="R183" s="195"/>
      <c r="S183" s="195"/>
      <c r="T183" s="195"/>
      <c r="U183" s="195"/>
      <c r="V183" s="195"/>
      <c r="W183" s="195"/>
      <c r="X183" s="195"/>
      <c r="Y183" s="195"/>
      <c r="Z183" s="195"/>
      <c r="AA183" s="195"/>
      <c r="AB183" s="195"/>
      <c r="AC183" s="196"/>
      <c r="AD183" s="196"/>
      <c r="AE183" s="196"/>
      <c r="AF183" s="196"/>
      <c r="AG183" s="196"/>
      <c r="AH183" s="196"/>
      <c r="AI183" s="196"/>
      <c r="AJ183" s="195"/>
      <c r="AK183" s="195"/>
      <c r="AL183" s="195"/>
      <c r="AM183" s="195"/>
      <c r="AN183" s="195"/>
      <c r="AO183" s="195"/>
      <c r="AP183" s="195"/>
      <c r="AQ183" s="195"/>
      <c r="AR183" s="195"/>
      <c r="AS183" s="195"/>
      <c r="AT183" s="195"/>
      <c r="AU183" s="195"/>
      <c r="AV183" s="195"/>
      <c r="AW183" s="195"/>
      <c r="AX183" s="191" t="s">
        <v>482</v>
      </c>
      <c r="AY183" s="215" t="s">
        <v>482</v>
      </c>
      <c r="AZ183" s="207" t="s">
        <v>1149</v>
      </c>
      <c r="BA183" s="188" t="s">
        <v>1150</v>
      </c>
    </row>
    <row r="184" spans="1:53" s="187" customFormat="1" ht="37.5">
      <c r="A184" s="188" t="s">
        <v>827</v>
      </c>
      <c r="B184" s="189">
        <v>6509</v>
      </c>
      <c r="C184" s="189">
        <v>6509</v>
      </c>
      <c r="D184" s="190" t="s">
        <v>1151</v>
      </c>
      <c r="E184" s="191" t="s">
        <v>1152</v>
      </c>
      <c r="F184" s="191" t="s">
        <v>56</v>
      </c>
      <c r="G184" s="191"/>
      <c r="H184" s="193">
        <f t="shared" si="21"/>
        <v>3985.2525000000001</v>
      </c>
      <c r="I184" s="199">
        <v>10.9185</v>
      </c>
      <c r="J184" s="194">
        <f t="shared" si="22"/>
        <v>327.55500000000001</v>
      </c>
      <c r="K184" s="194">
        <f t="shared" si="26"/>
        <v>3985.2525000000001</v>
      </c>
      <c r="L184" s="199">
        <v>10.9185</v>
      </c>
      <c r="M184" s="194">
        <f t="shared" si="27"/>
        <v>327.55500000000001</v>
      </c>
      <c r="N184" s="194">
        <f t="shared" si="28"/>
        <v>0</v>
      </c>
      <c r="O184" s="195"/>
      <c r="P184" s="195"/>
      <c r="Q184" s="195"/>
      <c r="R184" s="195"/>
      <c r="S184" s="195"/>
      <c r="T184" s="195"/>
      <c r="U184" s="195"/>
      <c r="V184" s="195"/>
      <c r="W184" s="195"/>
      <c r="X184" s="195"/>
      <c r="Y184" s="195"/>
      <c r="Z184" s="195"/>
      <c r="AA184" s="195"/>
      <c r="AB184" s="195"/>
      <c r="AC184" s="196"/>
      <c r="AD184" s="196"/>
      <c r="AE184" s="196"/>
      <c r="AF184" s="196"/>
      <c r="AG184" s="196"/>
      <c r="AH184" s="196"/>
      <c r="AI184" s="196"/>
      <c r="AJ184" s="195"/>
      <c r="AK184" s="195"/>
      <c r="AL184" s="195"/>
      <c r="AM184" s="195"/>
      <c r="AN184" s="195"/>
      <c r="AO184" s="195"/>
      <c r="AP184" s="195"/>
      <c r="AQ184" s="195"/>
      <c r="AR184" s="195"/>
      <c r="AS184" s="195"/>
      <c r="AT184" s="195"/>
      <c r="AU184" s="195"/>
      <c r="AV184" s="195"/>
      <c r="AW184" s="195"/>
      <c r="AX184" s="191" t="s">
        <v>482</v>
      </c>
      <c r="AY184" s="215" t="s">
        <v>482</v>
      </c>
      <c r="AZ184" s="207" t="s">
        <v>1153</v>
      </c>
      <c r="BA184" s="188" t="s">
        <v>830</v>
      </c>
    </row>
    <row r="185" spans="1:53" s="187" customFormat="1">
      <c r="A185" s="188" t="s">
        <v>827</v>
      </c>
      <c r="B185" s="261">
        <v>6509</v>
      </c>
      <c r="C185" s="261">
        <v>6509</v>
      </c>
      <c r="D185" s="190" t="s">
        <v>1151</v>
      </c>
      <c r="E185" s="191" t="s">
        <v>15</v>
      </c>
      <c r="F185" s="191" t="s">
        <v>56</v>
      </c>
      <c r="G185" s="191" t="s">
        <v>782</v>
      </c>
      <c r="H185" s="193">
        <f t="shared" si="21"/>
        <v>3985.2525000000001</v>
      </c>
      <c r="I185" s="199">
        <v>10.9185</v>
      </c>
      <c r="J185" s="194">
        <f t="shared" si="22"/>
        <v>327.55500000000001</v>
      </c>
      <c r="K185" s="194">
        <f t="shared" si="26"/>
        <v>3985.2525000000001</v>
      </c>
      <c r="L185" s="199">
        <v>10.9185</v>
      </c>
      <c r="M185" s="194">
        <f t="shared" si="27"/>
        <v>327.55500000000001</v>
      </c>
      <c r="N185" s="194">
        <f t="shared" si="28"/>
        <v>0</v>
      </c>
      <c r="O185" s="195"/>
      <c r="P185" s="195"/>
      <c r="Q185" s="195"/>
      <c r="R185" s="195"/>
      <c r="S185" s="195"/>
      <c r="T185" s="195"/>
      <c r="U185" s="195"/>
      <c r="V185" s="195"/>
      <c r="W185" s="195"/>
      <c r="X185" s="195"/>
      <c r="Y185" s="195"/>
      <c r="Z185" s="195"/>
      <c r="AA185" s="195"/>
      <c r="AB185" s="195"/>
      <c r="AC185" s="196"/>
      <c r="AD185" s="196"/>
      <c r="AE185" s="196"/>
      <c r="AF185" s="196"/>
      <c r="AG185" s="196"/>
      <c r="AH185" s="196"/>
      <c r="AI185" s="196"/>
      <c r="AJ185" s="195"/>
      <c r="AK185" s="195"/>
      <c r="AL185" s="195"/>
      <c r="AM185" s="195"/>
      <c r="AN185" s="195"/>
      <c r="AO185" s="195"/>
      <c r="AP185" s="195"/>
      <c r="AQ185" s="195"/>
      <c r="AR185" s="195"/>
      <c r="AS185" s="195"/>
      <c r="AT185" s="195"/>
      <c r="AU185" s="195"/>
      <c r="AV185" s="195"/>
      <c r="AW185" s="195"/>
      <c r="AX185" s="263">
        <v>20</v>
      </c>
      <c r="AY185" s="264" t="s">
        <v>515</v>
      </c>
      <c r="AZ185" s="275" t="s">
        <v>1154</v>
      </c>
      <c r="BA185" s="211" t="s">
        <v>830</v>
      </c>
    </row>
    <row r="186" spans="1:53" s="187" customFormat="1">
      <c r="A186" s="188" t="s">
        <v>827</v>
      </c>
      <c r="B186" s="238">
        <v>6597</v>
      </c>
      <c r="C186" s="238">
        <v>6597</v>
      </c>
      <c r="D186" s="190" t="s">
        <v>1155</v>
      </c>
      <c r="E186" s="191" t="s">
        <v>15</v>
      </c>
      <c r="F186" s="191" t="s">
        <v>1156</v>
      </c>
      <c r="G186" s="212"/>
      <c r="H186" s="193">
        <v>32.479999999999997</v>
      </c>
      <c r="I186" s="194">
        <v>8.8999999999999996E-2</v>
      </c>
      <c r="J186" s="194">
        <f t="shared" si="22"/>
        <v>2.67</v>
      </c>
      <c r="K186" s="194">
        <f t="shared" si="26"/>
        <v>32.484999999999999</v>
      </c>
      <c r="L186" s="194">
        <v>8.8999999999999996E-2</v>
      </c>
      <c r="M186" s="194">
        <f t="shared" si="27"/>
        <v>2.67</v>
      </c>
      <c r="N186" s="194">
        <f t="shared" si="28"/>
        <v>0</v>
      </c>
      <c r="O186" s="195"/>
      <c r="P186" s="195"/>
      <c r="Q186" s="195"/>
      <c r="R186" s="195"/>
      <c r="S186" s="195"/>
      <c r="T186" s="195"/>
      <c r="U186" s="195"/>
      <c r="V186" s="195"/>
      <c r="W186" s="195"/>
      <c r="X186" s="195"/>
      <c r="Y186" s="195"/>
      <c r="Z186" s="195"/>
      <c r="AA186" s="195"/>
      <c r="AB186" s="195"/>
      <c r="AC186" s="196"/>
      <c r="AD186" s="196"/>
      <c r="AE186" s="196"/>
      <c r="AF186" s="196"/>
      <c r="AG186" s="196"/>
      <c r="AH186" s="196"/>
      <c r="AI186" s="196"/>
      <c r="AJ186" s="195"/>
      <c r="AK186" s="195"/>
      <c r="AL186" s="195"/>
      <c r="AM186" s="195"/>
      <c r="AN186" s="195"/>
      <c r="AO186" s="195"/>
      <c r="AP186" s="195"/>
      <c r="AQ186" s="195"/>
      <c r="AR186" s="195"/>
      <c r="AS186" s="195"/>
      <c r="AT186" s="195"/>
      <c r="AU186" s="195"/>
      <c r="AV186" s="195"/>
      <c r="AW186" s="195"/>
      <c r="AX186" s="212">
        <v>20</v>
      </c>
      <c r="AY186" s="276" t="s">
        <v>851</v>
      </c>
      <c r="AZ186" s="252" t="s">
        <v>765</v>
      </c>
      <c r="BA186" s="239" t="s">
        <v>1157</v>
      </c>
    </row>
    <row r="187" spans="1:53" s="187" customFormat="1">
      <c r="A187" s="188" t="s">
        <v>827</v>
      </c>
      <c r="B187" s="238">
        <v>6681</v>
      </c>
      <c r="C187" s="238">
        <v>6681</v>
      </c>
      <c r="D187" s="190" t="s">
        <v>1158</v>
      </c>
      <c r="E187" s="191" t="s">
        <v>15</v>
      </c>
      <c r="F187" s="191" t="s">
        <v>59</v>
      </c>
      <c r="G187" s="212"/>
      <c r="H187" s="193">
        <f t="shared" ref="H187:H230" si="29">I187*365</f>
        <v>62.597500000000004</v>
      </c>
      <c r="I187" s="199">
        <v>0.17150000000000001</v>
      </c>
      <c r="J187" s="194">
        <f t="shared" si="22"/>
        <v>5.1450000000000005</v>
      </c>
      <c r="K187" s="194">
        <f t="shared" si="26"/>
        <v>62.524500000000003</v>
      </c>
      <c r="L187" s="199">
        <v>0.17130000000000001</v>
      </c>
      <c r="M187" s="194">
        <f t="shared" si="27"/>
        <v>5.1390000000000002</v>
      </c>
      <c r="N187" s="194">
        <f t="shared" si="28"/>
        <v>-2.0000000000000573E-4</v>
      </c>
      <c r="O187" s="195"/>
      <c r="P187" s="195"/>
      <c r="Q187" s="195"/>
      <c r="R187" s="195"/>
      <c r="S187" s="195"/>
      <c r="T187" s="195"/>
      <c r="U187" s="195"/>
      <c r="V187" s="195"/>
      <c r="W187" s="195"/>
      <c r="X187" s="195"/>
      <c r="Y187" s="195"/>
      <c r="Z187" s="195"/>
      <c r="AA187" s="195"/>
      <c r="AB187" s="195"/>
      <c r="AC187" s="196"/>
      <c r="AD187" s="196"/>
      <c r="AE187" s="196"/>
      <c r="AF187" s="196"/>
      <c r="AG187" s="196"/>
      <c r="AH187" s="196"/>
      <c r="AI187" s="196"/>
      <c r="AJ187" s="195"/>
      <c r="AK187" s="195"/>
      <c r="AL187" s="195"/>
      <c r="AM187" s="195"/>
      <c r="AN187" s="195"/>
      <c r="AO187" s="195"/>
      <c r="AP187" s="195"/>
      <c r="AQ187" s="195"/>
      <c r="AR187" s="195"/>
      <c r="AS187" s="195"/>
      <c r="AT187" s="195"/>
      <c r="AU187" s="195"/>
      <c r="AV187" s="195"/>
      <c r="AW187" s="195"/>
      <c r="AX187" s="263" t="s">
        <v>515</v>
      </c>
      <c r="AY187" s="263" t="s">
        <v>515</v>
      </c>
      <c r="AZ187" s="211" t="s">
        <v>907</v>
      </c>
      <c r="BA187" s="253" t="s">
        <v>855</v>
      </c>
    </row>
    <row r="188" spans="1:53" s="187" customFormat="1">
      <c r="A188" s="188" t="s">
        <v>827</v>
      </c>
      <c r="B188" s="238">
        <v>6705</v>
      </c>
      <c r="C188" s="238">
        <v>6705</v>
      </c>
      <c r="D188" s="190" t="s">
        <v>1052</v>
      </c>
      <c r="E188" s="191" t="s">
        <v>15</v>
      </c>
      <c r="F188" s="191" t="s">
        <v>59</v>
      </c>
      <c r="G188" s="212"/>
      <c r="H188" s="193">
        <f t="shared" si="29"/>
        <v>10.877000000000001</v>
      </c>
      <c r="I188" s="194">
        <v>2.98E-2</v>
      </c>
      <c r="J188" s="194">
        <f t="shared" si="22"/>
        <v>0.89400000000000002</v>
      </c>
      <c r="K188" s="194">
        <f t="shared" si="26"/>
        <v>10.220000000000001</v>
      </c>
      <c r="L188" s="194">
        <v>2.8000000000000001E-2</v>
      </c>
      <c r="M188" s="194">
        <f t="shared" si="27"/>
        <v>0.84</v>
      </c>
      <c r="N188" s="194">
        <f t="shared" si="28"/>
        <v>-1.7999999999999995E-3</v>
      </c>
      <c r="O188" s="195"/>
      <c r="P188" s="195"/>
      <c r="Q188" s="195"/>
      <c r="R188" s="195"/>
      <c r="S188" s="195"/>
      <c r="T188" s="195"/>
      <c r="U188" s="195"/>
      <c r="V188" s="195"/>
      <c r="W188" s="195"/>
      <c r="X188" s="195"/>
      <c r="Y188" s="195"/>
      <c r="Z188" s="195"/>
      <c r="AA188" s="195"/>
      <c r="AB188" s="195"/>
      <c r="AC188" s="196"/>
      <c r="AD188" s="196"/>
      <c r="AE188" s="196"/>
      <c r="AF188" s="196"/>
      <c r="AG188" s="196"/>
      <c r="AH188" s="196"/>
      <c r="AI188" s="196"/>
      <c r="AJ188" s="195"/>
      <c r="AK188" s="195"/>
      <c r="AL188" s="195"/>
      <c r="AM188" s="195"/>
      <c r="AN188" s="195"/>
      <c r="AO188" s="195"/>
      <c r="AP188" s="195"/>
      <c r="AQ188" s="195"/>
      <c r="AR188" s="195"/>
      <c r="AS188" s="195"/>
      <c r="AT188" s="195"/>
      <c r="AU188" s="195"/>
      <c r="AV188" s="195"/>
      <c r="AW188" s="195"/>
      <c r="AX188" s="191" t="s">
        <v>482</v>
      </c>
      <c r="AY188" s="202" t="s">
        <v>482</v>
      </c>
      <c r="AZ188" s="252" t="s">
        <v>1159</v>
      </c>
      <c r="BA188" s="253" t="s">
        <v>842</v>
      </c>
    </row>
    <row r="189" spans="1:53" s="187" customFormat="1">
      <c r="A189" s="188" t="s">
        <v>827</v>
      </c>
      <c r="B189" s="189">
        <v>6920</v>
      </c>
      <c r="C189" s="189">
        <v>6920</v>
      </c>
      <c r="D189" s="190" t="s">
        <v>1160</v>
      </c>
      <c r="E189" s="191" t="s">
        <v>15</v>
      </c>
      <c r="F189" s="191" t="s">
        <v>56</v>
      </c>
      <c r="G189" s="191"/>
      <c r="H189" s="193">
        <f t="shared" si="29"/>
        <v>241.703</v>
      </c>
      <c r="I189" s="199">
        <v>0.66220000000000001</v>
      </c>
      <c r="J189" s="194">
        <f t="shared" si="22"/>
        <v>19.866</v>
      </c>
      <c r="K189" s="194">
        <f t="shared" si="26"/>
        <v>247.21450000000002</v>
      </c>
      <c r="L189" s="199">
        <v>0.67730000000000001</v>
      </c>
      <c r="M189" s="194">
        <f t="shared" si="27"/>
        <v>20.318999999999999</v>
      </c>
      <c r="N189" s="194">
        <f t="shared" si="28"/>
        <v>1.5100000000000002E-2</v>
      </c>
      <c r="O189" s="195"/>
      <c r="P189" s="195"/>
      <c r="Q189" s="195"/>
      <c r="R189" s="195"/>
      <c r="S189" s="195"/>
      <c r="T189" s="195"/>
      <c r="U189" s="195"/>
      <c r="V189" s="195"/>
      <c r="W189" s="195"/>
      <c r="X189" s="195"/>
      <c r="Y189" s="195"/>
      <c r="Z189" s="195"/>
      <c r="AA189" s="195"/>
      <c r="AB189" s="195"/>
      <c r="AC189" s="196"/>
      <c r="AD189" s="196"/>
      <c r="AE189" s="196"/>
      <c r="AF189" s="196"/>
      <c r="AG189" s="196"/>
      <c r="AH189" s="196"/>
      <c r="AI189" s="196"/>
      <c r="AJ189" s="195"/>
      <c r="AK189" s="195"/>
      <c r="AL189" s="195"/>
      <c r="AM189" s="195"/>
      <c r="AN189" s="195"/>
      <c r="AO189" s="195"/>
      <c r="AP189" s="195"/>
      <c r="AQ189" s="195"/>
      <c r="AR189" s="195"/>
      <c r="AS189" s="195"/>
      <c r="AT189" s="195"/>
      <c r="AU189" s="195"/>
      <c r="AV189" s="195"/>
      <c r="AW189" s="195"/>
      <c r="AX189" s="202" t="s">
        <v>482</v>
      </c>
      <c r="AY189" s="202" t="s">
        <v>482</v>
      </c>
      <c r="AZ189" s="207" t="s">
        <v>1161</v>
      </c>
      <c r="BA189" s="229" t="s">
        <v>830</v>
      </c>
    </row>
    <row r="190" spans="1:53" s="187" customFormat="1">
      <c r="A190" s="188" t="s">
        <v>827</v>
      </c>
      <c r="B190" s="219">
        <v>7023</v>
      </c>
      <c r="C190" s="219">
        <v>7023</v>
      </c>
      <c r="D190" s="190" t="s">
        <v>1162</v>
      </c>
      <c r="E190" s="191" t="s">
        <v>15</v>
      </c>
      <c r="F190" s="191" t="s">
        <v>60</v>
      </c>
      <c r="G190" s="191"/>
      <c r="H190" s="193">
        <f t="shared" si="29"/>
        <v>0</v>
      </c>
      <c r="I190" s="199">
        <v>0</v>
      </c>
      <c r="J190" s="194">
        <f t="shared" si="22"/>
        <v>0</v>
      </c>
      <c r="K190" s="194">
        <f t="shared" si="26"/>
        <v>7.665</v>
      </c>
      <c r="L190" s="199">
        <v>2.1000000000000001E-2</v>
      </c>
      <c r="M190" s="194">
        <f t="shared" si="27"/>
        <v>0.63</v>
      </c>
      <c r="N190" s="194">
        <f t="shared" si="28"/>
        <v>2.1000000000000001E-2</v>
      </c>
      <c r="O190" s="195"/>
      <c r="P190" s="195"/>
      <c r="Q190" s="195"/>
      <c r="R190" s="195"/>
      <c r="S190" s="195"/>
      <c r="T190" s="195"/>
      <c r="U190" s="195"/>
      <c r="V190" s="195"/>
      <c r="W190" s="195"/>
      <c r="X190" s="195"/>
      <c r="Y190" s="195"/>
      <c r="Z190" s="195"/>
      <c r="AA190" s="195"/>
      <c r="AB190" s="195"/>
      <c r="AC190" s="196"/>
      <c r="AD190" s="196"/>
      <c r="AE190" s="196"/>
      <c r="AF190" s="196"/>
      <c r="AG190" s="196"/>
      <c r="AH190" s="196"/>
      <c r="AI190" s="196"/>
      <c r="AJ190" s="195"/>
      <c r="AK190" s="195"/>
      <c r="AL190" s="195"/>
      <c r="AM190" s="195"/>
      <c r="AN190" s="195"/>
      <c r="AO190" s="195"/>
      <c r="AP190" s="195"/>
      <c r="AQ190" s="195"/>
      <c r="AR190" s="195"/>
      <c r="AS190" s="195"/>
      <c r="AT190" s="195"/>
      <c r="AU190" s="195"/>
      <c r="AV190" s="195"/>
      <c r="AW190" s="195"/>
      <c r="AX190" s="191">
        <v>10</v>
      </c>
      <c r="AY190" s="215" t="s">
        <v>851</v>
      </c>
      <c r="AZ190" s="227" t="s">
        <v>852</v>
      </c>
      <c r="BA190" s="201" t="s">
        <v>830</v>
      </c>
    </row>
    <row r="191" spans="1:53" s="187" customFormat="1">
      <c r="A191" s="188" t="s">
        <v>827</v>
      </c>
      <c r="B191" s="219">
        <v>7024</v>
      </c>
      <c r="C191" s="219">
        <v>7024</v>
      </c>
      <c r="D191" s="190" t="s">
        <v>1163</v>
      </c>
      <c r="E191" s="191" t="s">
        <v>15</v>
      </c>
      <c r="F191" s="191" t="s">
        <v>59</v>
      </c>
      <c r="G191" s="191"/>
      <c r="H191" s="193">
        <f t="shared" si="29"/>
        <v>0</v>
      </c>
      <c r="I191" s="199">
        <v>0</v>
      </c>
      <c r="J191" s="194">
        <f t="shared" si="22"/>
        <v>0</v>
      </c>
      <c r="K191" s="194">
        <f t="shared" si="26"/>
        <v>40.076999999999998</v>
      </c>
      <c r="L191" s="199">
        <v>0.10979999999999999</v>
      </c>
      <c r="M191" s="194">
        <f t="shared" si="27"/>
        <v>3.294</v>
      </c>
      <c r="N191" s="194">
        <f t="shared" si="28"/>
        <v>0.10979999999999999</v>
      </c>
      <c r="O191" s="195"/>
      <c r="P191" s="195"/>
      <c r="Q191" s="195"/>
      <c r="R191" s="195"/>
      <c r="S191" s="195"/>
      <c r="T191" s="195"/>
      <c r="U191" s="195"/>
      <c r="V191" s="195"/>
      <c r="W191" s="195"/>
      <c r="X191" s="195"/>
      <c r="Y191" s="195"/>
      <c r="Z191" s="195"/>
      <c r="AA191" s="195"/>
      <c r="AB191" s="195"/>
      <c r="AC191" s="196"/>
      <c r="AD191" s="196"/>
      <c r="AE191" s="196"/>
      <c r="AF191" s="196"/>
      <c r="AG191" s="196"/>
      <c r="AH191" s="196"/>
      <c r="AI191" s="196"/>
      <c r="AJ191" s="195"/>
      <c r="AK191" s="195"/>
      <c r="AL191" s="195"/>
      <c r="AM191" s="195"/>
      <c r="AN191" s="195"/>
      <c r="AO191" s="195"/>
      <c r="AP191" s="195"/>
      <c r="AQ191" s="195"/>
      <c r="AR191" s="195"/>
      <c r="AS191" s="195"/>
      <c r="AT191" s="195"/>
      <c r="AU191" s="195"/>
      <c r="AV191" s="195"/>
      <c r="AW191" s="195"/>
      <c r="AX191" s="191">
        <v>20</v>
      </c>
      <c r="AY191" s="215">
        <v>20</v>
      </c>
      <c r="AZ191" s="227" t="s">
        <v>852</v>
      </c>
      <c r="BA191" s="201" t="s">
        <v>878</v>
      </c>
    </row>
    <row r="192" spans="1:53" s="187" customFormat="1" ht="37.5">
      <c r="A192" s="188" t="s">
        <v>827</v>
      </c>
      <c r="B192" s="189">
        <v>7119</v>
      </c>
      <c r="C192" s="189">
        <v>7119</v>
      </c>
      <c r="D192" s="190" t="s">
        <v>1164</v>
      </c>
      <c r="E192" s="191" t="s">
        <v>15</v>
      </c>
      <c r="F192" s="191" t="s">
        <v>56</v>
      </c>
      <c r="G192" s="191"/>
      <c r="H192" s="193">
        <f t="shared" si="29"/>
        <v>2568.2494999999999</v>
      </c>
      <c r="I192" s="199">
        <v>7.0362999999999998</v>
      </c>
      <c r="J192" s="194">
        <f t="shared" si="22"/>
        <v>211.089</v>
      </c>
      <c r="K192" s="194">
        <f t="shared" si="26"/>
        <v>2568.2494999999999</v>
      </c>
      <c r="L192" s="199">
        <v>7.0362999999999998</v>
      </c>
      <c r="M192" s="194">
        <f t="shared" si="27"/>
        <v>211.089</v>
      </c>
      <c r="N192" s="194">
        <f t="shared" si="28"/>
        <v>0</v>
      </c>
      <c r="O192" s="195"/>
      <c r="P192" s="195"/>
      <c r="Q192" s="195"/>
      <c r="R192" s="195"/>
      <c r="S192" s="195"/>
      <c r="T192" s="195"/>
      <c r="U192" s="195"/>
      <c r="V192" s="195"/>
      <c r="W192" s="195"/>
      <c r="X192" s="195"/>
      <c r="Y192" s="195"/>
      <c r="Z192" s="195"/>
      <c r="AA192" s="195"/>
      <c r="AB192" s="195"/>
      <c r="AC192" s="196"/>
      <c r="AD192" s="196"/>
      <c r="AE192" s="196"/>
      <c r="AF192" s="196"/>
      <c r="AG192" s="196"/>
      <c r="AH192" s="196"/>
      <c r="AI192" s="196"/>
      <c r="AJ192" s="195"/>
      <c r="AK192" s="195"/>
      <c r="AL192" s="195"/>
      <c r="AM192" s="195"/>
      <c r="AN192" s="195"/>
      <c r="AO192" s="195"/>
      <c r="AP192" s="195"/>
      <c r="AQ192" s="195"/>
      <c r="AR192" s="195"/>
      <c r="AS192" s="195"/>
      <c r="AT192" s="195"/>
      <c r="AU192" s="195"/>
      <c r="AV192" s="195"/>
      <c r="AW192" s="195"/>
      <c r="AX192" s="191" t="s">
        <v>482</v>
      </c>
      <c r="AY192" s="202" t="s">
        <v>482</v>
      </c>
      <c r="AZ192" s="207" t="s">
        <v>1165</v>
      </c>
      <c r="BA192" s="229" t="s">
        <v>842</v>
      </c>
    </row>
    <row r="193" spans="1:53" s="187" customFormat="1">
      <c r="A193" s="188" t="s">
        <v>827</v>
      </c>
      <c r="B193" s="219">
        <v>7203</v>
      </c>
      <c r="C193" s="219">
        <v>7203</v>
      </c>
      <c r="D193" s="190" t="s">
        <v>1166</v>
      </c>
      <c r="E193" s="191" t="s">
        <v>15</v>
      </c>
      <c r="F193" s="191" t="s">
        <v>59</v>
      </c>
      <c r="G193" s="191"/>
      <c r="H193" s="193">
        <f t="shared" si="29"/>
        <v>31.754999999999999</v>
      </c>
      <c r="I193" s="199">
        <v>8.6999999999999994E-2</v>
      </c>
      <c r="J193" s="194">
        <f t="shared" si="22"/>
        <v>2.61</v>
      </c>
      <c r="K193" s="194">
        <f t="shared" si="26"/>
        <v>31.754999999999999</v>
      </c>
      <c r="L193" s="199">
        <v>8.6999999999999994E-2</v>
      </c>
      <c r="M193" s="194">
        <f t="shared" si="27"/>
        <v>2.61</v>
      </c>
      <c r="N193" s="194">
        <f t="shared" si="28"/>
        <v>0</v>
      </c>
      <c r="O193" s="195"/>
      <c r="P193" s="195"/>
      <c r="Q193" s="195"/>
      <c r="R193" s="195"/>
      <c r="S193" s="195"/>
      <c r="T193" s="195"/>
      <c r="U193" s="195"/>
      <c r="V193" s="195"/>
      <c r="W193" s="195"/>
      <c r="X193" s="195"/>
      <c r="Y193" s="195"/>
      <c r="Z193" s="195"/>
      <c r="AA193" s="195"/>
      <c r="AB193" s="195"/>
      <c r="AC193" s="196"/>
      <c r="AD193" s="196"/>
      <c r="AE193" s="196"/>
      <c r="AF193" s="196"/>
      <c r="AG193" s="196"/>
      <c r="AH193" s="196"/>
      <c r="AI193" s="196"/>
      <c r="AJ193" s="195"/>
      <c r="AK193" s="195"/>
      <c r="AL193" s="195"/>
      <c r="AM193" s="195"/>
      <c r="AN193" s="195"/>
      <c r="AO193" s="195"/>
      <c r="AP193" s="195"/>
      <c r="AQ193" s="195"/>
      <c r="AR193" s="195"/>
      <c r="AS193" s="195"/>
      <c r="AT193" s="195"/>
      <c r="AU193" s="195"/>
      <c r="AV193" s="195"/>
      <c r="AW193" s="195"/>
      <c r="AX193" s="191">
        <v>20</v>
      </c>
      <c r="AY193" s="215">
        <v>20</v>
      </c>
      <c r="AZ193" s="227" t="s">
        <v>832</v>
      </c>
      <c r="BA193" s="201" t="s">
        <v>1167</v>
      </c>
    </row>
    <row r="194" spans="1:53" s="187" customFormat="1" ht="37.5">
      <c r="A194" s="188" t="s">
        <v>827</v>
      </c>
      <c r="B194" s="219">
        <v>7230</v>
      </c>
      <c r="C194" s="219">
        <v>7230</v>
      </c>
      <c r="D194" s="190" t="s">
        <v>1123</v>
      </c>
      <c r="E194" s="191" t="s">
        <v>1168</v>
      </c>
      <c r="F194" s="191" t="s">
        <v>59</v>
      </c>
      <c r="G194" s="191"/>
      <c r="H194" s="193">
        <f t="shared" si="29"/>
        <v>5.3289999999999997</v>
      </c>
      <c r="I194" s="199">
        <v>1.46E-2</v>
      </c>
      <c r="J194" s="194">
        <f t="shared" si="22"/>
        <v>0.438</v>
      </c>
      <c r="K194" s="194">
        <f t="shared" si="26"/>
        <v>16.753500000000003</v>
      </c>
      <c r="L194" s="199">
        <v>4.5900000000000003E-2</v>
      </c>
      <c r="M194" s="194">
        <f t="shared" si="27"/>
        <v>1.377</v>
      </c>
      <c r="N194" s="194">
        <f t="shared" si="28"/>
        <v>3.1300000000000001E-2</v>
      </c>
      <c r="O194" s="195"/>
      <c r="P194" s="195"/>
      <c r="Q194" s="195"/>
      <c r="R194" s="195"/>
      <c r="S194" s="195"/>
      <c r="T194" s="195"/>
      <c r="U194" s="195"/>
      <c r="V194" s="195"/>
      <c r="W194" s="195"/>
      <c r="X194" s="195"/>
      <c r="Y194" s="195"/>
      <c r="Z194" s="195"/>
      <c r="AA194" s="195"/>
      <c r="AB194" s="195"/>
      <c r="AC194" s="196"/>
      <c r="AD194" s="196"/>
      <c r="AE194" s="196"/>
      <c r="AF194" s="196"/>
      <c r="AG194" s="196"/>
      <c r="AH194" s="196"/>
      <c r="AI194" s="196"/>
      <c r="AJ194" s="195"/>
      <c r="AK194" s="195"/>
      <c r="AL194" s="195"/>
      <c r="AM194" s="195"/>
      <c r="AN194" s="195"/>
      <c r="AO194" s="195"/>
      <c r="AP194" s="195"/>
      <c r="AQ194" s="195"/>
      <c r="AR194" s="195"/>
      <c r="AS194" s="195"/>
      <c r="AT194" s="195"/>
      <c r="AU194" s="195"/>
      <c r="AV194" s="195"/>
      <c r="AW194" s="195"/>
      <c r="AX194" s="191">
        <v>4</v>
      </c>
      <c r="AY194" s="215">
        <v>4</v>
      </c>
      <c r="AZ194" s="227" t="s">
        <v>1169</v>
      </c>
      <c r="BA194" s="201" t="s">
        <v>908</v>
      </c>
    </row>
    <row r="195" spans="1:53" s="187" customFormat="1" ht="37.5">
      <c r="A195" s="188" t="s">
        <v>827</v>
      </c>
      <c r="B195" s="189">
        <v>7380</v>
      </c>
      <c r="C195" s="189">
        <v>7380</v>
      </c>
      <c r="D195" s="269" t="s">
        <v>1170</v>
      </c>
      <c r="E195" s="219" t="s">
        <v>15</v>
      </c>
      <c r="F195" s="191" t="s">
        <v>59</v>
      </c>
      <c r="G195" s="219"/>
      <c r="H195" s="193">
        <f t="shared" si="29"/>
        <v>23.506</v>
      </c>
      <c r="I195" s="199">
        <v>6.4399999999999999E-2</v>
      </c>
      <c r="J195" s="194">
        <f t="shared" si="22"/>
        <v>1.9319999999999999</v>
      </c>
      <c r="K195" s="194">
        <f t="shared" si="26"/>
        <v>64.239999999999995</v>
      </c>
      <c r="L195" s="199">
        <v>0.17599999999999999</v>
      </c>
      <c r="M195" s="194">
        <f t="shared" si="27"/>
        <v>5.2799999999999994</v>
      </c>
      <c r="N195" s="194">
        <f t="shared" si="28"/>
        <v>0.11159999999999999</v>
      </c>
      <c r="O195" s="195"/>
      <c r="P195" s="195"/>
      <c r="Q195" s="195"/>
      <c r="R195" s="195"/>
      <c r="S195" s="195"/>
      <c r="T195" s="195"/>
      <c r="U195" s="195"/>
      <c r="V195" s="195"/>
      <c r="W195" s="195"/>
      <c r="X195" s="195"/>
      <c r="Y195" s="195"/>
      <c r="Z195" s="195"/>
      <c r="AA195" s="195"/>
      <c r="AB195" s="195"/>
      <c r="AC195" s="196"/>
      <c r="AD195" s="196"/>
      <c r="AE195" s="196"/>
      <c r="AF195" s="196"/>
      <c r="AG195" s="196"/>
      <c r="AH195" s="196"/>
      <c r="AI195" s="196"/>
      <c r="AJ195" s="195"/>
      <c r="AK195" s="195"/>
      <c r="AL195" s="195"/>
      <c r="AM195" s="195"/>
      <c r="AN195" s="195"/>
      <c r="AO195" s="195"/>
      <c r="AP195" s="195"/>
      <c r="AQ195" s="195"/>
      <c r="AR195" s="195"/>
      <c r="AS195" s="195"/>
      <c r="AT195" s="195"/>
      <c r="AU195" s="195"/>
      <c r="AV195" s="195"/>
      <c r="AW195" s="195"/>
      <c r="AX195" s="226" t="s">
        <v>515</v>
      </c>
      <c r="AY195" s="241" t="s">
        <v>515</v>
      </c>
      <c r="AZ195" s="277" t="s">
        <v>1171</v>
      </c>
      <c r="BA195" s="278" t="s">
        <v>1172</v>
      </c>
    </row>
    <row r="196" spans="1:53" s="187" customFormat="1">
      <c r="A196" s="188" t="s">
        <v>827</v>
      </c>
      <c r="B196" s="189">
        <v>7489</v>
      </c>
      <c r="C196" s="189">
        <v>7489</v>
      </c>
      <c r="D196" s="269" t="s">
        <v>1173</v>
      </c>
      <c r="E196" s="219" t="s">
        <v>15</v>
      </c>
      <c r="F196" s="191" t="s">
        <v>58</v>
      </c>
      <c r="G196" s="219"/>
      <c r="H196" s="193">
        <f t="shared" si="29"/>
        <v>88.403000000000006</v>
      </c>
      <c r="I196" s="199">
        <v>0.2422</v>
      </c>
      <c r="J196" s="194">
        <f t="shared" si="22"/>
        <v>7.266</v>
      </c>
      <c r="K196" s="194">
        <f t="shared" si="26"/>
        <v>116.21600000000001</v>
      </c>
      <c r="L196" s="199">
        <v>0.31840000000000002</v>
      </c>
      <c r="M196" s="194">
        <f t="shared" si="27"/>
        <v>9.5519999999999996</v>
      </c>
      <c r="N196" s="194">
        <f t="shared" si="28"/>
        <v>7.6200000000000018E-2</v>
      </c>
      <c r="O196" s="195"/>
      <c r="P196" s="195"/>
      <c r="Q196" s="195"/>
      <c r="R196" s="195"/>
      <c r="S196" s="195"/>
      <c r="T196" s="195"/>
      <c r="U196" s="195"/>
      <c r="V196" s="195"/>
      <c r="W196" s="195"/>
      <c r="X196" s="195"/>
      <c r="Y196" s="195"/>
      <c r="Z196" s="195"/>
      <c r="AA196" s="195"/>
      <c r="AB196" s="195"/>
      <c r="AC196" s="196"/>
      <c r="AD196" s="196"/>
      <c r="AE196" s="196"/>
      <c r="AF196" s="196"/>
      <c r="AG196" s="196"/>
      <c r="AH196" s="196"/>
      <c r="AI196" s="196"/>
      <c r="AJ196" s="195"/>
      <c r="AK196" s="195"/>
      <c r="AL196" s="195"/>
      <c r="AM196" s="195"/>
      <c r="AN196" s="195"/>
      <c r="AO196" s="195"/>
      <c r="AP196" s="195"/>
      <c r="AQ196" s="195"/>
      <c r="AR196" s="195"/>
      <c r="AS196" s="195"/>
      <c r="AT196" s="195"/>
      <c r="AU196" s="195"/>
      <c r="AV196" s="195"/>
      <c r="AW196" s="195"/>
      <c r="AX196" s="226" t="s">
        <v>515</v>
      </c>
      <c r="AY196" s="241" t="s">
        <v>515</v>
      </c>
      <c r="AZ196" s="277" t="s">
        <v>1174</v>
      </c>
      <c r="BA196" s="278" t="s">
        <v>868</v>
      </c>
    </row>
    <row r="197" spans="1:53" s="187" customFormat="1">
      <c r="A197" s="188" t="s">
        <v>827</v>
      </c>
      <c r="B197" s="219">
        <v>7526</v>
      </c>
      <c r="C197" s="219">
        <v>7526</v>
      </c>
      <c r="D197" s="190" t="s">
        <v>1175</v>
      </c>
      <c r="E197" s="191" t="s">
        <v>15</v>
      </c>
      <c r="F197" s="191" t="s">
        <v>59</v>
      </c>
      <c r="G197" s="191" t="s">
        <v>782</v>
      </c>
      <c r="H197" s="193">
        <f t="shared" si="29"/>
        <v>0</v>
      </c>
      <c r="I197" s="199">
        <v>0</v>
      </c>
      <c r="J197" s="194">
        <f t="shared" si="22"/>
        <v>0</v>
      </c>
      <c r="K197" s="194">
        <f t="shared" si="26"/>
        <v>5.2195</v>
      </c>
      <c r="L197" s="199">
        <v>1.43E-2</v>
      </c>
      <c r="M197" s="194">
        <f t="shared" si="27"/>
        <v>0.42899999999999999</v>
      </c>
      <c r="N197" s="194">
        <f t="shared" si="28"/>
        <v>1.43E-2</v>
      </c>
      <c r="O197" s="195"/>
      <c r="P197" s="195"/>
      <c r="Q197" s="195"/>
      <c r="R197" s="195"/>
      <c r="S197" s="195"/>
      <c r="T197" s="195"/>
      <c r="U197" s="195"/>
      <c r="V197" s="195"/>
      <c r="W197" s="195"/>
      <c r="X197" s="195"/>
      <c r="Y197" s="195"/>
      <c r="Z197" s="195"/>
      <c r="AA197" s="195"/>
      <c r="AB197" s="195"/>
      <c r="AC197" s="196"/>
      <c r="AD197" s="196"/>
      <c r="AE197" s="196"/>
      <c r="AF197" s="196"/>
      <c r="AG197" s="196"/>
      <c r="AH197" s="196"/>
      <c r="AI197" s="196"/>
      <c r="AJ197" s="195"/>
      <c r="AK197" s="195"/>
      <c r="AL197" s="195"/>
      <c r="AM197" s="195"/>
      <c r="AN197" s="195"/>
      <c r="AO197" s="195"/>
      <c r="AP197" s="195"/>
      <c r="AQ197" s="195"/>
      <c r="AR197" s="195"/>
      <c r="AS197" s="195"/>
      <c r="AT197" s="195"/>
      <c r="AU197" s="195"/>
      <c r="AV197" s="195"/>
      <c r="AW197" s="195"/>
      <c r="AX197" s="191">
        <v>10</v>
      </c>
      <c r="AY197" s="225">
        <v>20</v>
      </c>
      <c r="AZ197" s="227" t="s">
        <v>1176</v>
      </c>
      <c r="BA197" s="201" t="s">
        <v>1026</v>
      </c>
    </row>
    <row r="198" spans="1:53" s="187" customFormat="1" ht="37.5">
      <c r="A198" s="188" t="s">
        <v>827</v>
      </c>
      <c r="B198" s="189">
        <v>7584</v>
      </c>
      <c r="C198" s="189">
        <v>7584</v>
      </c>
      <c r="D198" s="190" t="s">
        <v>1177</v>
      </c>
      <c r="E198" s="191" t="s">
        <v>15</v>
      </c>
      <c r="F198" s="191" t="s">
        <v>59</v>
      </c>
      <c r="G198" s="191"/>
      <c r="H198" s="193">
        <f t="shared" si="29"/>
        <v>35.733499999999999</v>
      </c>
      <c r="I198" s="194">
        <v>9.7900000000000001E-2</v>
      </c>
      <c r="J198" s="194">
        <f t="shared" si="22"/>
        <v>2.9369999999999998</v>
      </c>
      <c r="K198" s="194">
        <f t="shared" si="26"/>
        <v>19.271999999999998</v>
      </c>
      <c r="L198" s="194">
        <v>5.28E-2</v>
      </c>
      <c r="M198" s="194">
        <f t="shared" si="27"/>
        <v>1.5840000000000001</v>
      </c>
      <c r="N198" s="194">
        <f t="shared" si="28"/>
        <v>-4.5100000000000001E-2</v>
      </c>
      <c r="O198" s="195"/>
      <c r="P198" s="195"/>
      <c r="Q198" s="195"/>
      <c r="R198" s="195"/>
      <c r="S198" s="195"/>
      <c r="T198" s="195"/>
      <c r="U198" s="195"/>
      <c r="V198" s="195"/>
      <c r="W198" s="195"/>
      <c r="X198" s="195"/>
      <c r="Y198" s="195"/>
      <c r="Z198" s="195"/>
      <c r="AA198" s="195"/>
      <c r="AB198" s="195"/>
      <c r="AC198" s="196"/>
      <c r="AD198" s="196"/>
      <c r="AE198" s="196"/>
      <c r="AF198" s="196"/>
      <c r="AG198" s="196"/>
      <c r="AH198" s="196"/>
      <c r="AI198" s="196"/>
      <c r="AJ198" s="195"/>
      <c r="AK198" s="195"/>
      <c r="AL198" s="195"/>
      <c r="AM198" s="195"/>
      <c r="AN198" s="195"/>
      <c r="AO198" s="195"/>
      <c r="AP198" s="195"/>
      <c r="AQ198" s="195"/>
      <c r="AR198" s="195"/>
      <c r="AS198" s="195"/>
      <c r="AT198" s="195"/>
      <c r="AU198" s="195"/>
      <c r="AV198" s="195"/>
      <c r="AW198" s="195"/>
      <c r="AX198" s="191" t="s">
        <v>482</v>
      </c>
      <c r="AY198" s="224" t="s">
        <v>482</v>
      </c>
      <c r="AZ198" s="207" t="s">
        <v>1178</v>
      </c>
      <c r="BA198" s="279" t="s">
        <v>855</v>
      </c>
    </row>
    <row r="199" spans="1:53" s="187" customFormat="1" ht="37.5">
      <c r="A199" s="188" t="s">
        <v>827</v>
      </c>
      <c r="B199" s="189">
        <v>7598</v>
      </c>
      <c r="C199" s="189">
        <v>7598</v>
      </c>
      <c r="D199" s="269" t="s">
        <v>1179</v>
      </c>
      <c r="E199" s="219" t="s">
        <v>15</v>
      </c>
      <c r="F199" s="191" t="s">
        <v>59</v>
      </c>
      <c r="G199" s="219"/>
      <c r="H199" s="193">
        <f t="shared" si="29"/>
        <v>23.4695</v>
      </c>
      <c r="I199" s="199">
        <v>6.4299999999999996E-2</v>
      </c>
      <c r="J199" s="194">
        <f t="shared" si="22"/>
        <v>1.9289999999999998</v>
      </c>
      <c r="K199" s="194">
        <f t="shared" si="26"/>
        <v>24.016999999999999</v>
      </c>
      <c r="L199" s="199">
        <v>6.5799999999999997E-2</v>
      </c>
      <c r="M199" s="194">
        <f t="shared" si="27"/>
        <v>1.974</v>
      </c>
      <c r="N199" s="194">
        <f t="shared" si="28"/>
        <v>1.5000000000000013E-3</v>
      </c>
      <c r="O199" s="195"/>
      <c r="P199" s="195"/>
      <c r="Q199" s="195"/>
      <c r="R199" s="195"/>
      <c r="S199" s="195"/>
      <c r="T199" s="195"/>
      <c r="U199" s="195"/>
      <c r="V199" s="195"/>
      <c r="W199" s="195"/>
      <c r="X199" s="195"/>
      <c r="Y199" s="195"/>
      <c r="Z199" s="195"/>
      <c r="AA199" s="195"/>
      <c r="AB199" s="195"/>
      <c r="AC199" s="196"/>
      <c r="AD199" s="196"/>
      <c r="AE199" s="196"/>
      <c r="AF199" s="196"/>
      <c r="AG199" s="196"/>
      <c r="AH199" s="196"/>
      <c r="AI199" s="196"/>
      <c r="AJ199" s="195"/>
      <c r="AK199" s="195"/>
      <c r="AL199" s="195"/>
      <c r="AM199" s="195"/>
      <c r="AN199" s="195"/>
      <c r="AO199" s="195"/>
      <c r="AP199" s="195"/>
      <c r="AQ199" s="195"/>
      <c r="AR199" s="195"/>
      <c r="AS199" s="195"/>
      <c r="AT199" s="195"/>
      <c r="AU199" s="195"/>
      <c r="AV199" s="195"/>
      <c r="AW199" s="195"/>
      <c r="AX199" s="226" t="s">
        <v>515</v>
      </c>
      <c r="AY199" s="241" t="s">
        <v>515</v>
      </c>
      <c r="AZ199" s="207" t="s">
        <v>954</v>
      </c>
      <c r="BA199" s="280" t="s">
        <v>855</v>
      </c>
    </row>
    <row r="200" spans="1:53" s="187" customFormat="1" ht="37.5">
      <c r="A200" s="188" t="s">
        <v>827</v>
      </c>
      <c r="B200" s="189">
        <v>7610</v>
      </c>
      <c r="C200" s="189">
        <v>7610</v>
      </c>
      <c r="D200" s="190" t="s">
        <v>1180</v>
      </c>
      <c r="E200" s="191" t="s">
        <v>15</v>
      </c>
      <c r="F200" s="191" t="s">
        <v>1181</v>
      </c>
      <c r="G200" s="224"/>
      <c r="H200" s="193">
        <f t="shared" si="29"/>
        <v>12.555999999999999</v>
      </c>
      <c r="I200" s="194">
        <v>3.44E-2</v>
      </c>
      <c r="J200" s="194">
        <f t="shared" si="22"/>
        <v>1.032</v>
      </c>
      <c r="K200" s="194">
        <f t="shared" si="26"/>
        <v>12.555999999999999</v>
      </c>
      <c r="L200" s="194">
        <v>3.44E-2</v>
      </c>
      <c r="M200" s="194">
        <f t="shared" si="27"/>
        <v>1.032</v>
      </c>
      <c r="N200" s="194">
        <f t="shared" si="28"/>
        <v>0</v>
      </c>
      <c r="O200" s="195"/>
      <c r="P200" s="195"/>
      <c r="Q200" s="195"/>
      <c r="R200" s="195"/>
      <c r="S200" s="195"/>
      <c r="T200" s="195"/>
      <c r="U200" s="195"/>
      <c r="V200" s="281"/>
      <c r="W200" s="195"/>
      <c r="X200" s="195"/>
      <c r="Y200" s="281"/>
      <c r="Z200" s="195"/>
      <c r="AA200" s="195"/>
      <c r="AB200" s="195"/>
      <c r="AC200" s="196"/>
      <c r="AD200" s="196"/>
      <c r="AE200" s="196"/>
      <c r="AF200" s="196"/>
      <c r="AG200" s="196"/>
      <c r="AH200" s="196"/>
      <c r="AI200" s="196"/>
      <c r="AJ200" s="195"/>
      <c r="AK200" s="195"/>
      <c r="AL200" s="195"/>
      <c r="AM200" s="195"/>
      <c r="AN200" s="195"/>
      <c r="AO200" s="195"/>
      <c r="AP200" s="195"/>
      <c r="AQ200" s="195"/>
      <c r="AR200" s="195"/>
      <c r="AS200" s="195"/>
      <c r="AT200" s="195"/>
      <c r="AU200" s="195"/>
      <c r="AV200" s="195"/>
      <c r="AW200" s="195"/>
      <c r="AX200" s="191" t="s">
        <v>515</v>
      </c>
      <c r="AY200" s="225" t="s">
        <v>515</v>
      </c>
      <c r="AZ200" s="207" t="s">
        <v>1182</v>
      </c>
      <c r="BA200" s="188" t="s">
        <v>1183</v>
      </c>
    </row>
    <row r="201" spans="1:53" s="187" customFormat="1">
      <c r="A201" s="188" t="s">
        <v>827</v>
      </c>
      <c r="B201" s="189">
        <v>7794</v>
      </c>
      <c r="C201" s="189">
        <v>7794</v>
      </c>
      <c r="D201" s="269" t="s">
        <v>1184</v>
      </c>
      <c r="E201" s="219" t="s">
        <v>15</v>
      </c>
      <c r="F201" s="191" t="s">
        <v>59</v>
      </c>
      <c r="G201" s="240"/>
      <c r="H201" s="193">
        <f t="shared" si="29"/>
        <v>12.555999999999999</v>
      </c>
      <c r="I201" s="199">
        <v>3.44E-2</v>
      </c>
      <c r="J201" s="194">
        <f t="shared" si="22"/>
        <v>1.032</v>
      </c>
      <c r="K201" s="194">
        <f t="shared" si="26"/>
        <v>12.555999999999999</v>
      </c>
      <c r="L201" s="199">
        <v>3.44E-2</v>
      </c>
      <c r="M201" s="194">
        <f t="shared" si="27"/>
        <v>1.032</v>
      </c>
      <c r="N201" s="194">
        <f t="shared" si="28"/>
        <v>0</v>
      </c>
      <c r="O201" s="195"/>
      <c r="P201" s="195"/>
      <c r="Q201" s="195"/>
      <c r="R201" s="195"/>
      <c r="S201" s="195"/>
      <c r="T201" s="195"/>
      <c r="U201" s="195"/>
      <c r="V201" s="195"/>
      <c r="W201" s="195"/>
      <c r="X201" s="195"/>
      <c r="Y201" s="195"/>
      <c r="Z201" s="195"/>
      <c r="AA201" s="195"/>
      <c r="AB201" s="195"/>
      <c r="AC201" s="196"/>
      <c r="AD201" s="196"/>
      <c r="AE201" s="196"/>
      <c r="AF201" s="196"/>
      <c r="AG201" s="196"/>
      <c r="AH201" s="196"/>
      <c r="AI201" s="196"/>
      <c r="AJ201" s="195"/>
      <c r="AK201" s="195"/>
      <c r="AL201" s="195"/>
      <c r="AM201" s="195"/>
      <c r="AN201" s="195"/>
      <c r="AO201" s="195"/>
      <c r="AP201" s="195"/>
      <c r="AQ201" s="195"/>
      <c r="AR201" s="195"/>
      <c r="AS201" s="195"/>
      <c r="AT201" s="195"/>
      <c r="AU201" s="195"/>
      <c r="AV201" s="195"/>
      <c r="AW201" s="195"/>
      <c r="AX201" s="226">
        <v>20</v>
      </c>
      <c r="AY201" s="241" t="s">
        <v>851</v>
      </c>
      <c r="AZ201" s="277" t="s">
        <v>765</v>
      </c>
      <c r="BA201" s="280" t="s">
        <v>888</v>
      </c>
    </row>
    <row r="202" spans="1:53" s="187" customFormat="1">
      <c r="A202" s="188" t="s">
        <v>827</v>
      </c>
      <c r="B202" s="238">
        <v>7886</v>
      </c>
      <c r="C202" s="238">
        <v>7886</v>
      </c>
      <c r="D202" s="282" t="s">
        <v>1185</v>
      </c>
      <c r="E202" s="219" t="s">
        <v>15</v>
      </c>
      <c r="F202" s="191" t="s">
        <v>59</v>
      </c>
      <c r="G202" s="257"/>
      <c r="H202" s="193">
        <f t="shared" si="29"/>
        <v>12.6655</v>
      </c>
      <c r="I202" s="199">
        <v>3.4700000000000002E-2</v>
      </c>
      <c r="J202" s="194">
        <f t="shared" si="22"/>
        <v>1.0410000000000001</v>
      </c>
      <c r="K202" s="194">
        <f t="shared" si="26"/>
        <v>12.6655</v>
      </c>
      <c r="L202" s="199">
        <v>3.4700000000000002E-2</v>
      </c>
      <c r="M202" s="194">
        <f t="shared" si="27"/>
        <v>1.0410000000000001</v>
      </c>
      <c r="N202" s="194">
        <f t="shared" si="28"/>
        <v>0</v>
      </c>
      <c r="O202" s="195"/>
      <c r="P202" s="195"/>
      <c r="Q202" s="195"/>
      <c r="R202" s="195"/>
      <c r="S202" s="195"/>
      <c r="T202" s="195"/>
      <c r="U202" s="195"/>
      <c r="V202" s="195"/>
      <c r="W202" s="195"/>
      <c r="X202" s="195"/>
      <c r="Y202" s="195"/>
      <c r="Z202" s="195"/>
      <c r="AA202" s="195"/>
      <c r="AB202" s="195"/>
      <c r="AC202" s="196"/>
      <c r="AD202" s="196"/>
      <c r="AE202" s="196"/>
      <c r="AF202" s="196"/>
      <c r="AG202" s="196"/>
      <c r="AH202" s="196"/>
      <c r="AI202" s="196"/>
      <c r="AJ202" s="195"/>
      <c r="AK202" s="195"/>
      <c r="AL202" s="195"/>
      <c r="AM202" s="195"/>
      <c r="AN202" s="195"/>
      <c r="AO202" s="195"/>
      <c r="AP202" s="195"/>
      <c r="AQ202" s="195"/>
      <c r="AR202" s="195"/>
      <c r="AS202" s="195"/>
      <c r="AT202" s="195"/>
      <c r="AU202" s="195"/>
      <c r="AV202" s="195"/>
      <c r="AW202" s="195"/>
      <c r="AX202" s="226">
        <v>20</v>
      </c>
      <c r="AY202" s="226">
        <v>20</v>
      </c>
      <c r="AZ202" s="277" t="s">
        <v>765</v>
      </c>
      <c r="BA202" s="280" t="s">
        <v>878</v>
      </c>
    </row>
    <row r="203" spans="1:53" s="187" customFormat="1" ht="37.5">
      <c r="A203" s="188" t="s">
        <v>827</v>
      </c>
      <c r="B203" s="238">
        <v>7916</v>
      </c>
      <c r="C203" s="238">
        <v>7916</v>
      </c>
      <c r="D203" s="282" t="s">
        <v>1186</v>
      </c>
      <c r="E203" s="219" t="s">
        <v>15</v>
      </c>
      <c r="F203" s="191" t="s">
        <v>59</v>
      </c>
      <c r="G203" s="257"/>
      <c r="H203" s="193">
        <f t="shared" si="29"/>
        <v>3.7230000000000003</v>
      </c>
      <c r="I203" s="199">
        <v>1.0200000000000001E-2</v>
      </c>
      <c r="J203" s="194">
        <f t="shared" si="22"/>
        <v>0.30600000000000005</v>
      </c>
      <c r="K203" s="194">
        <f t="shared" si="26"/>
        <v>28.798500000000001</v>
      </c>
      <c r="L203" s="199">
        <v>7.8899999999999998E-2</v>
      </c>
      <c r="M203" s="194">
        <f t="shared" si="27"/>
        <v>2.367</v>
      </c>
      <c r="N203" s="194">
        <f t="shared" si="28"/>
        <v>6.8699999999999997E-2</v>
      </c>
      <c r="O203" s="195"/>
      <c r="P203" s="195"/>
      <c r="Q203" s="195"/>
      <c r="R203" s="195"/>
      <c r="S203" s="195"/>
      <c r="T203" s="195"/>
      <c r="U203" s="195"/>
      <c r="V203" s="195"/>
      <c r="W203" s="195"/>
      <c r="X203" s="195"/>
      <c r="Y203" s="195"/>
      <c r="Z203" s="195"/>
      <c r="AA203" s="195"/>
      <c r="AB203" s="195"/>
      <c r="AC203" s="196"/>
      <c r="AD203" s="196"/>
      <c r="AE203" s="196"/>
      <c r="AF203" s="196"/>
      <c r="AG203" s="196"/>
      <c r="AH203" s="196"/>
      <c r="AI203" s="196"/>
      <c r="AJ203" s="195"/>
      <c r="AK203" s="195"/>
      <c r="AL203" s="195"/>
      <c r="AM203" s="195"/>
      <c r="AN203" s="195"/>
      <c r="AO203" s="195"/>
      <c r="AP203" s="195"/>
      <c r="AQ203" s="195"/>
      <c r="AR203" s="195"/>
      <c r="AS203" s="195"/>
      <c r="AT203" s="195"/>
      <c r="AU203" s="195"/>
      <c r="AV203" s="195"/>
      <c r="AW203" s="195"/>
      <c r="AX203" s="226">
        <v>20</v>
      </c>
      <c r="AY203" s="226" t="s">
        <v>851</v>
      </c>
      <c r="AZ203" s="277" t="s">
        <v>1187</v>
      </c>
      <c r="BA203" s="280" t="s">
        <v>830</v>
      </c>
    </row>
    <row r="204" spans="1:53" s="187" customFormat="1">
      <c r="A204" s="188" t="s">
        <v>827</v>
      </c>
      <c r="B204" s="257">
        <v>7934</v>
      </c>
      <c r="C204" s="257">
        <v>7934</v>
      </c>
      <c r="D204" s="211" t="s">
        <v>1188</v>
      </c>
      <c r="E204" s="191" t="s">
        <v>15</v>
      </c>
      <c r="F204" s="191" t="s">
        <v>59</v>
      </c>
      <c r="G204" s="191" t="s">
        <v>782</v>
      </c>
      <c r="H204" s="193">
        <f t="shared" si="29"/>
        <v>0</v>
      </c>
      <c r="I204" s="199">
        <v>0</v>
      </c>
      <c r="J204" s="194">
        <f t="shared" si="22"/>
        <v>0</v>
      </c>
      <c r="K204" s="194">
        <f t="shared" si="26"/>
        <v>7.0445000000000002</v>
      </c>
      <c r="L204" s="199">
        <v>1.9300000000000001E-2</v>
      </c>
      <c r="M204" s="194">
        <f t="shared" si="27"/>
        <v>0.57900000000000007</v>
      </c>
      <c r="N204" s="194">
        <f t="shared" si="28"/>
        <v>1.9300000000000001E-2</v>
      </c>
      <c r="O204" s="195"/>
      <c r="P204" s="195"/>
      <c r="Q204" s="195"/>
      <c r="R204" s="195"/>
      <c r="S204" s="195"/>
      <c r="T204" s="195"/>
      <c r="U204" s="195"/>
      <c r="V204" s="195"/>
      <c r="W204" s="195"/>
      <c r="X204" s="195"/>
      <c r="Y204" s="195"/>
      <c r="Z204" s="195"/>
      <c r="AA204" s="195"/>
      <c r="AB204" s="195"/>
      <c r="AC204" s="196"/>
      <c r="AD204" s="196"/>
      <c r="AE204" s="196"/>
      <c r="AF204" s="196"/>
      <c r="AG204" s="196"/>
      <c r="AH204" s="196"/>
      <c r="AI204" s="196"/>
      <c r="AJ204" s="195"/>
      <c r="AK204" s="195"/>
      <c r="AL204" s="195"/>
      <c r="AM204" s="195"/>
      <c r="AN204" s="195"/>
      <c r="AO204" s="195"/>
      <c r="AP204" s="195"/>
      <c r="AQ204" s="195"/>
      <c r="AR204" s="195"/>
      <c r="AS204" s="195"/>
      <c r="AT204" s="195"/>
      <c r="AU204" s="195"/>
      <c r="AV204" s="195"/>
      <c r="AW204" s="195"/>
      <c r="AX204" s="191">
        <v>20</v>
      </c>
      <c r="AY204" s="215">
        <v>20</v>
      </c>
      <c r="AZ204" s="227" t="s">
        <v>1176</v>
      </c>
      <c r="BA204" s="190" t="s">
        <v>1189</v>
      </c>
    </row>
    <row r="205" spans="1:53" s="187" customFormat="1">
      <c r="A205" s="188" t="s">
        <v>827</v>
      </c>
      <c r="B205" s="238">
        <v>7948</v>
      </c>
      <c r="C205" s="238">
        <v>7948</v>
      </c>
      <c r="D205" s="211" t="s">
        <v>1190</v>
      </c>
      <c r="E205" s="191" t="s">
        <v>15</v>
      </c>
      <c r="F205" s="191" t="s">
        <v>59</v>
      </c>
      <c r="G205" s="212"/>
      <c r="H205" s="193">
        <f t="shared" si="29"/>
        <v>5.1100000000000003</v>
      </c>
      <c r="I205" s="194">
        <v>1.4E-2</v>
      </c>
      <c r="J205" s="194">
        <f t="shared" si="22"/>
        <v>0.42</v>
      </c>
      <c r="K205" s="194">
        <f t="shared" si="26"/>
        <v>5.1100000000000003</v>
      </c>
      <c r="L205" s="194">
        <v>1.4E-2</v>
      </c>
      <c r="M205" s="194">
        <f t="shared" si="27"/>
        <v>0.42</v>
      </c>
      <c r="N205" s="194">
        <f t="shared" si="28"/>
        <v>0</v>
      </c>
      <c r="O205" s="195"/>
      <c r="P205" s="195"/>
      <c r="Q205" s="195"/>
      <c r="R205" s="195"/>
      <c r="S205" s="195"/>
      <c r="T205" s="195"/>
      <c r="U205" s="195"/>
      <c r="V205" s="195"/>
      <c r="W205" s="195"/>
      <c r="X205" s="195"/>
      <c r="Y205" s="195"/>
      <c r="Z205" s="195"/>
      <c r="AA205" s="195"/>
      <c r="AB205" s="195"/>
      <c r="AC205" s="196"/>
      <c r="AD205" s="196"/>
      <c r="AE205" s="196"/>
      <c r="AF205" s="196"/>
      <c r="AG205" s="196"/>
      <c r="AH205" s="196"/>
      <c r="AI205" s="196"/>
      <c r="AJ205" s="195"/>
      <c r="AK205" s="195"/>
      <c r="AL205" s="195"/>
      <c r="AM205" s="195"/>
      <c r="AN205" s="195"/>
      <c r="AO205" s="195"/>
      <c r="AP205" s="195"/>
      <c r="AQ205" s="195"/>
      <c r="AR205" s="195"/>
      <c r="AS205" s="195"/>
      <c r="AT205" s="195"/>
      <c r="AU205" s="195"/>
      <c r="AV205" s="195"/>
      <c r="AW205" s="195"/>
      <c r="AX205" s="191">
        <v>20</v>
      </c>
      <c r="AY205" s="215">
        <v>20</v>
      </c>
      <c r="AZ205" s="207" t="s">
        <v>832</v>
      </c>
      <c r="BA205" s="188" t="s">
        <v>1122</v>
      </c>
    </row>
    <row r="206" spans="1:53" s="187" customFormat="1" ht="37.5">
      <c r="A206" s="188" t="s">
        <v>827</v>
      </c>
      <c r="B206" s="238">
        <v>7966</v>
      </c>
      <c r="C206" s="238">
        <v>7966</v>
      </c>
      <c r="D206" s="211" t="s">
        <v>1191</v>
      </c>
      <c r="E206" s="191" t="s">
        <v>15</v>
      </c>
      <c r="F206" s="191" t="s">
        <v>59</v>
      </c>
      <c r="G206" s="212"/>
      <c r="H206" s="193">
        <f t="shared" si="29"/>
        <v>19.308500000000002</v>
      </c>
      <c r="I206" s="194">
        <v>5.2900000000000003E-2</v>
      </c>
      <c r="J206" s="194">
        <f t="shared" si="22"/>
        <v>1.5870000000000002</v>
      </c>
      <c r="K206" s="194">
        <f t="shared" si="26"/>
        <v>19.819500000000001</v>
      </c>
      <c r="L206" s="194">
        <v>5.4300000000000001E-2</v>
      </c>
      <c r="M206" s="194">
        <f t="shared" si="27"/>
        <v>1.629</v>
      </c>
      <c r="N206" s="194">
        <f t="shared" si="28"/>
        <v>1.3999999999999985E-3</v>
      </c>
      <c r="O206" s="195"/>
      <c r="P206" s="195"/>
      <c r="Q206" s="195"/>
      <c r="R206" s="195"/>
      <c r="S206" s="195"/>
      <c r="T206" s="195"/>
      <c r="U206" s="195"/>
      <c r="V206" s="195"/>
      <c r="W206" s="195"/>
      <c r="X206" s="195"/>
      <c r="Y206" s="195"/>
      <c r="Z206" s="195"/>
      <c r="AA206" s="195"/>
      <c r="AB206" s="195"/>
      <c r="AC206" s="196"/>
      <c r="AD206" s="196"/>
      <c r="AE206" s="196"/>
      <c r="AF206" s="196"/>
      <c r="AG206" s="196"/>
      <c r="AH206" s="196"/>
      <c r="AI206" s="196"/>
      <c r="AJ206" s="195"/>
      <c r="AK206" s="195"/>
      <c r="AL206" s="195"/>
      <c r="AM206" s="195"/>
      <c r="AN206" s="195"/>
      <c r="AO206" s="195"/>
      <c r="AP206" s="195"/>
      <c r="AQ206" s="195"/>
      <c r="AR206" s="195"/>
      <c r="AS206" s="195"/>
      <c r="AT206" s="195"/>
      <c r="AU206" s="195"/>
      <c r="AV206" s="195"/>
      <c r="AW206" s="195"/>
      <c r="AX206" s="191">
        <v>10</v>
      </c>
      <c r="AY206" s="215">
        <v>20</v>
      </c>
      <c r="AZ206" s="207" t="s">
        <v>1192</v>
      </c>
      <c r="BA206" s="229" t="s">
        <v>830</v>
      </c>
    </row>
    <row r="207" spans="1:53" s="187" customFormat="1">
      <c r="A207" s="188" t="s">
        <v>827</v>
      </c>
      <c r="B207" s="189">
        <v>8045</v>
      </c>
      <c r="C207" s="189">
        <v>8045</v>
      </c>
      <c r="D207" s="269" t="s">
        <v>492</v>
      </c>
      <c r="E207" s="219" t="s">
        <v>15</v>
      </c>
      <c r="F207" s="191" t="s">
        <v>59</v>
      </c>
      <c r="G207" s="219"/>
      <c r="H207" s="193">
        <f t="shared" si="29"/>
        <v>3.7230000000000003</v>
      </c>
      <c r="I207" s="199">
        <v>1.0200000000000001E-2</v>
      </c>
      <c r="J207" s="194">
        <f t="shared" si="22"/>
        <v>0.30600000000000005</v>
      </c>
      <c r="K207" s="194">
        <f t="shared" si="26"/>
        <v>3.7230000000000003</v>
      </c>
      <c r="L207" s="199">
        <v>1.0200000000000001E-2</v>
      </c>
      <c r="M207" s="194">
        <f t="shared" si="27"/>
        <v>0.30600000000000005</v>
      </c>
      <c r="N207" s="194">
        <f t="shared" si="28"/>
        <v>0</v>
      </c>
      <c r="O207" s="195"/>
      <c r="P207" s="195"/>
      <c r="Q207" s="195"/>
      <c r="R207" s="195"/>
      <c r="S207" s="195"/>
      <c r="T207" s="195"/>
      <c r="U207" s="195"/>
      <c r="V207" s="195"/>
      <c r="W207" s="195"/>
      <c r="X207" s="195"/>
      <c r="Y207" s="195"/>
      <c r="Z207" s="195"/>
      <c r="AA207" s="195"/>
      <c r="AB207" s="195"/>
      <c r="AC207" s="196"/>
      <c r="AD207" s="196"/>
      <c r="AE207" s="196"/>
      <c r="AF207" s="196"/>
      <c r="AG207" s="196"/>
      <c r="AH207" s="196"/>
      <c r="AI207" s="196"/>
      <c r="AJ207" s="195"/>
      <c r="AK207" s="195"/>
      <c r="AL207" s="195"/>
      <c r="AM207" s="195"/>
      <c r="AN207" s="195"/>
      <c r="AO207" s="195"/>
      <c r="AP207" s="195"/>
      <c r="AQ207" s="195"/>
      <c r="AR207" s="195"/>
      <c r="AS207" s="195"/>
      <c r="AT207" s="195"/>
      <c r="AU207" s="195"/>
      <c r="AV207" s="195"/>
      <c r="AW207" s="195"/>
      <c r="AX207" s="226">
        <v>20</v>
      </c>
      <c r="AY207" s="226" t="s">
        <v>851</v>
      </c>
      <c r="AZ207" s="277" t="s">
        <v>765</v>
      </c>
      <c r="BA207" s="229" t="s">
        <v>855</v>
      </c>
    </row>
    <row r="208" spans="1:53" s="187" customFormat="1">
      <c r="A208" s="188" t="s">
        <v>827</v>
      </c>
      <c r="B208" s="189">
        <v>8113</v>
      </c>
      <c r="C208" s="189">
        <v>8113</v>
      </c>
      <c r="D208" s="269" t="s">
        <v>1193</v>
      </c>
      <c r="E208" s="219" t="s">
        <v>155</v>
      </c>
      <c r="F208" s="191" t="s">
        <v>59</v>
      </c>
      <c r="G208" s="219"/>
      <c r="H208" s="193">
        <f t="shared" si="29"/>
        <v>3.9420000000000002</v>
      </c>
      <c r="I208" s="199">
        <v>1.0800000000000001E-2</v>
      </c>
      <c r="J208" s="194">
        <f t="shared" si="22"/>
        <v>0.32400000000000001</v>
      </c>
      <c r="K208" s="194">
        <f t="shared" si="26"/>
        <v>3.9420000000000002</v>
      </c>
      <c r="L208" s="199">
        <v>1.0800000000000001E-2</v>
      </c>
      <c r="M208" s="194">
        <f t="shared" si="27"/>
        <v>0.32400000000000001</v>
      </c>
      <c r="N208" s="194">
        <f t="shared" si="28"/>
        <v>0</v>
      </c>
      <c r="O208" s="195"/>
      <c r="P208" s="195"/>
      <c r="Q208" s="195"/>
      <c r="R208" s="195"/>
      <c r="S208" s="195"/>
      <c r="T208" s="195"/>
      <c r="U208" s="195"/>
      <c r="V208" s="195"/>
      <c r="W208" s="195"/>
      <c r="X208" s="195"/>
      <c r="Y208" s="195"/>
      <c r="Z208" s="195"/>
      <c r="AA208" s="195"/>
      <c r="AB208" s="195"/>
      <c r="AC208" s="196"/>
      <c r="AD208" s="196"/>
      <c r="AE208" s="196"/>
      <c r="AF208" s="196"/>
      <c r="AG208" s="196"/>
      <c r="AH208" s="196"/>
      <c r="AI208" s="196"/>
      <c r="AJ208" s="195"/>
      <c r="AK208" s="195"/>
      <c r="AL208" s="195"/>
      <c r="AM208" s="195"/>
      <c r="AN208" s="195"/>
      <c r="AO208" s="195"/>
      <c r="AP208" s="195"/>
      <c r="AQ208" s="195"/>
      <c r="AR208" s="195"/>
      <c r="AS208" s="195"/>
      <c r="AT208" s="195"/>
      <c r="AU208" s="195"/>
      <c r="AV208" s="195"/>
      <c r="AW208" s="195"/>
      <c r="AX208" s="226">
        <v>10</v>
      </c>
      <c r="AY208" s="226">
        <v>10</v>
      </c>
      <c r="AZ208" s="277" t="s">
        <v>765</v>
      </c>
      <c r="BA208" s="278" t="s">
        <v>878</v>
      </c>
    </row>
    <row r="209" spans="1:53" s="187" customFormat="1">
      <c r="A209" s="188" t="s">
        <v>827</v>
      </c>
      <c r="B209" s="189">
        <v>8114</v>
      </c>
      <c r="C209" s="189">
        <v>8114</v>
      </c>
      <c r="D209" s="269" t="s">
        <v>1194</v>
      </c>
      <c r="E209" s="219" t="s">
        <v>15</v>
      </c>
      <c r="F209" s="191" t="s">
        <v>59</v>
      </c>
      <c r="G209" s="219"/>
      <c r="H209" s="193">
        <f t="shared" si="29"/>
        <v>6.8985000000000003</v>
      </c>
      <c r="I209" s="199">
        <v>1.89E-2</v>
      </c>
      <c r="J209" s="194">
        <f t="shared" si="22"/>
        <v>0.56699999999999995</v>
      </c>
      <c r="K209" s="194">
        <f t="shared" si="26"/>
        <v>6.8985000000000003</v>
      </c>
      <c r="L209" s="199">
        <v>1.89E-2</v>
      </c>
      <c r="M209" s="194">
        <f t="shared" si="27"/>
        <v>0.56699999999999995</v>
      </c>
      <c r="N209" s="194">
        <f t="shared" si="28"/>
        <v>0</v>
      </c>
      <c r="O209" s="195"/>
      <c r="P209" s="195"/>
      <c r="Q209" s="195"/>
      <c r="R209" s="195"/>
      <c r="S209" s="195"/>
      <c r="T209" s="195"/>
      <c r="U209" s="195"/>
      <c r="V209" s="195"/>
      <c r="W209" s="195"/>
      <c r="X209" s="195"/>
      <c r="Y209" s="195"/>
      <c r="Z209" s="195"/>
      <c r="AA209" s="195"/>
      <c r="AB209" s="195"/>
      <c r="AC209" s="196"/>
      <c r="AD209" s="196"/>
      <c r="AE209" s="196"/>
      <c r="AF209" s="196"/>
      <c r="AG209" s="196"/>
      <c r="AH209" s="196"/>
      <c r="AI209" s="196"/>
      <c r="AJ209" s="195"/>
      <c r="AK209" s="195"/>
      <c r="AL209" s="195"/>
      <c r="AM209" s="195"/>
      <c r="AN209" s="195"/>
      <c r="AO209" s="195"/>
      <c r="AP209" s="195"/>
      <c r="AQ209" s="195"/>
      <c r="AR209" s="195"/>
      <c r="AS209" s="195"/>
      <c r="AT209" s="195"/>
      <c r="AU209" s="195"/>
      <c r="AV209" s="195"/>
      <c r="AW209" s="195"/>
      <c r="AX209" s="219">
        <v>20</v>
      </c>
      <c r="AY209" s="219">
        <v>20</v>
      </c>
      <c r="AZ209" s="277" t="s">
        <v>832</v>
      </c>
      <c r="BA209" s="278" t="s">
        <v>833</v>
      </c>
    </row>
    <row r="210" spans="1:53" s="187" customFormat="1">
      <c r="A210" s="188" t="s">
        <v>827</v>
      </c>
      <c r="B210" s="219">
        <v>8140</v>
      </c>
      <c r="C210" s="219">
        <v>8140</v>
      </c>
      <c r="D210" s="190" t="s">
        <v>1195</v>
      </c>
      <c r="E210" s="191" t="s">
        <v>15</v>
      </c>
      <c r="F210" s="191" t="s">
        <v>59</v>
      </c>
      <c r="G210" s="191" t="s">
        <v>782</v>
      </c>
      <c r="H210" s="193">
        <f t="shared" si="29"/>
        <v>19.417999999999999</v>
      </c>
      <c r="I210" s="199">
        <v>5.3199999999999997E-2</v>
      </c>
      <c r="J210" s="194">
        <f t="shared" si="22"/>
        <v>1.5959999999999999</v>
      </c>
      <c r="K210" s="194">
        <f t="shared" si="26"/>
        <v>19.417999999999999</v>
      </c>
      <c r="L210" s="199">
        <v>5.3199999999999997E-2</v>
      </c>
      <c r="M210" s="194">
        <f t="shared" si="27"/>
        <v>1.5959999999999999</v>
      </c>
      <c r="N210" s="194">
        <f t="shared" si="28"/>
        <v>0</v>
      </c>
      <c r="O210" s="195"/>
      <c r="P210" s="195"/>
      <c r="Q210" s="195"/>
      <c r="R210" s="195"/>
      <c r="S210" s="195"/>
      <c r="T210" s="195"/>
      <c r="U210" s="195"/>
      <c r="V210" s="195"/>
      <c r="W210" s="195"/>
      <c r="X210" s="195"/>
      <c r="Y210" s="195"/>
      <c r="Z210" s="195"/>
      <c r="AA210" s="195"/>
      <c r="AB210" s="195"/>
      <c r="AC210" s="196"/>
      <c r="AD210" s="196"/>
      <c r="AE210" s="196"/>
      <c r="AF210" s="196"/>
      <c r="AG210" s="196"/>
      <c r="AH210" s="196"/>
      <c r="AI210" s="196"/>
      <c r="AJ210" s="195"/>
      <c r="AK210" s="195"/>
      <c r="AL210" s="195"/>
      <c r="AM210" s="195"/>
      <c r="AN210" s="195"/>
      <c r="AO210" s="195"/>
      <c r="AP210" s="195"/>
      <c r="AQ210" s="195"/>
      <c r="AR210" s="195"/>
      <c r="AS210" s="195"/>
      <c r="AT210" s="195"/>
      <c r="AU210" s="195"/>
      <c r="AV210" s="195"/>
      <c r="AW210" s="195"/>
      <c r="AX210" s="191">
        <v>20</v>
      </c>
      <c r="AY210" s="215">
        <v>20</v>
      </c>
      <c r="AZ210" s="227" t="s">
        <v>835</v>
      </c>
      <c r="BA210" s="201" t="s">
        <v>830</v>
      </c>
    </row>
    <row r="211" spans="1:53" s="187" customFormat="1">
      <c r="A211" s="188" t="s">
        <v>827</v>
      </c>
      <c r="B211" s="213">
        <v>8206</v>
      </c>
      <c r="C211" s="213">
        <v>8206</v>
      </c>
      <c r="D211" s="214" t="s">
        <v>1196</v>
      </c>
      <c r="E211" s="191" t="s">
        <v>15</v>
      </c>
      <c r="F211" s="191" t="s">
        <v>59</v>
      </c>
      <c r="G211" s="191"/>
      <c r="H211" s="193">
        <f t="shared" si="29"/>
        <v>35.295499999999997</v>
      </c>
      <c r="I211" s="194">
        <v>9.6699999999999994E-2</v>
      </c>
      <c r="J211" s="194">
        <f t="shared" si="22"/>
        <v>2.9009999999999998</v>
      </c>
      <c r="K211" s="194">
        <f t="shared" si="26"/>
        <v>37.229999999999997</v>
      </c>
      <c r="L211" s="194">
        <v>0.10199999999999999</v>
      </c>
      <c r="M211" s="194">
        <f t="shared" si="27"/>
        <v>3.0599999999999996</v>
      </c>
      <c r="N211" s="194">
        <f t="shared" si="28"/>
        <v>5.2999999999999992E-3</v>
      </c>
      <c r="O211" s="195"/>
      <c r="P211" s="195"/>
      <c r="Q211" s="195"/>
      <c r="R211" s="195"/>
      <c r="S211" s="195"/>
      <c r="T211" s="195"/>
      <c r="U211" s="195"/>
      <c r="V211" s="195"/>
      <c r="W211" s="195"/>
      <c r="X211" s="195"/>
      <c r="Y211" s="195"/>
      <c r="Z211" s="195"/>
      <c r="AA211" s="195"/>
      <c r="AB211" s="195"/>
      <c r="AC211" s="196"/>
      <c r="AD211" s="196"/>
      <c r="AE211" s="196"/>
      <c r="AF211" s="196"/>
      <c r="AG211" s="196"/>
      <c r="AH211" s="196"/>
      <c r="AI211" s="196"/>
      <c r="AJ211" s="195"/>
      <c r="AK211" s="195"/>
      <c r="AL211" s="195"/>
      <c r="AM211" s="195"/>
      <c r="AN211" s="195"/>
      <c r="AO211" s="195"/>
      <c r="AP211" s="195"/>
      <c r="AQ211" s="195"/>
      <c r="AR211" s="195"/>
      <c r="AS211" s="195"/>
      <c r="AT211" s="195"/>
      <c r="AU211" s="195"/>
      <c r="AV211" s="195"/>
      <c r="AW211" s="195"/>
      <c r="AX211" s="191">
        <v>20</v>
      </c>
      <c r="AY211" s="215" t="s">
        <v>851</v>
      </c>
      <c r="AZ211" s="216" t="s">
        <v>765</v>
      </c>
      <c r="BA211" s="242" t="s">
        <v>830</v>
      </c>
    </row>
    <row r="212" spans="1:53" s="187" customFormat="1">
      <c r="A212" s="188" t="s">
        <v>827</v>
      </c>
      <c r="B212" s="240">
        <v>8229</v>
      </c>
      <c r="C212" s="240">
        <v>8229</v>
      </c>
      <c r="D212" s="214" t="s">
        <v>1197</v>
      </c>
      <c r="E212" s="191" t="s">
        <v>15</v>
      </c>
      <c r="F212" s="191" t="s">
        <v>59</v>
      </c>
      <c r="G212" s="191" t="s">
        <v>782</v>
      </c>
      <c r="H212" s="193">
        <f t="shared" si="29"/>
        <v>14.125499999999999</v>
      </c>
      <c r="I212" s="199">
        <v>3.8699999999999998E-2</v>
      </c>
      <c r="J212" s="194">
        <f t="shared" si="22"/>
        <v>1.161</v>
      </c>
      <c r="K212" s="194">
        <f t="shared" si="26"/>
        <v>14.125499999999999</v>
      </c>
      <c r="L212" s="199">
        <v>3.8699999999999998E-2</v>
      </c>
      <c r="M212" s="194">
        <f t="shared" si="27"/>
        <v>1.161</v>
      </c>
      <c r="N212" s="194">
        <f t="shared" si="28"/>
        <v>0</v>
      </c>
      <c r="O212" s="195"/>
      <c r="P212" s="195"/>
      <c r="Q212" s="195"/>
      <c r="R212" s="195"/>
      <c r="S212" s="195"/>
      <c r="T212" s="195"/>
      <c r="U212" s="195"/>
      <c r="V212" s="195"/>
      <c r="W212" s="195"/>
      <c r="X212" s="195"/>
      <c r="Y212" s="195"/>
      <c r="Z212" s="195"/>
      <c r="AA212" s="195"/>
      <c r="AB212" s="195"/>
      <c r="AC212" s="196"/>
      <c r="AD212" s="196"/>
      <c r="AE212" s="196"/>
      <c r="AF212" s="196"/>
      <c r="AG212" s="196"/>
      <c r="AH212" s="196"/>
      <c r="AI212" s="196"/>
      <c r="AJ212" s="195"/>
      <c r="AK212" s="195"/>
      <c r="AL212" s="195"/>
      <c r="AM212" s="195"/>
      <c r="AN212" s="195"/>
      <c r="AO212" s="195"/>
      <c r="AP212" s="195"/>
      <c r="AQ212" s="195"/>
      <c r="AR212" s="195"/>
      <c r="AS212" s="195"/>
      <c r="AT212" s="195"/>
      <c r="AU212" s="195"/>
      <c r="AV212" s="195"/>
      <c r="AW212" s="195"/>
      <c r="AX212" s="191">
        <v>20</v>
      </c>
      <c r="AY212" s="215">
        <v>20</v>
      </c>
      <c r="AZ212" s="283" t="s">
        <v>835</v>
      </c>
      <c r="BA212" s="235" t="s">
        <v>830</v>
      </c>
    </row>
    <row r="213" spans="1:53" s="187" customFormat="1">
      <c r="A213" s="188" t="s">
        <v>827</v>
      </c>
      <c r="B213" s="240">
        <v>8231</v>
      </c>
      <c r="C213" s="240">
        <v>8231</v>
      </c>
      <c r="D213" s="190" t="s">
        <v>1198</v>
      </c>
      <c r="E213" s="191" t="s">
        <v>15</v>
      </c>
      <c r="F213" s="191" t="s">
        <v>59</v>
      </c>
      <c r="G213" s="191" t="s">
        <v>782</v>
      </c>
      <c r="H213" s="193">
        <f t="shared" si="29"/>
        <v>7.8474999999999993</v>
      </c>
      <c r="I213" s="199">
        <v>2.1499999999999998E-2</v>
      </c>
      <c r="J213" s="194">
        <f t="shared" si="22"/>
        <v>0.64499999999999991</v>
      </c>
      <c r="K213" s="194">
        <f t="shared" si="26"/>
        <v>8.2855000000000008</v>
      </c>
      <c r="L213" s="199">
        <v>2.2700000000000001E-2</v>
      </c>
      <c r="M213" s="194">
        <f t="shared" si="27"/>
        <v>0.68100000000000005</v>
      </c>
      <c r="N213" s="194">
        <f t="shared" si="28"/>
        <v>1.2000000000000031E-3</v>
      </c>
      <c r="O213" s="195"/>
      <c r="P213" s="195"/>
      <c r="Q213" s="195"/>
      <c r="R213" s="195"/>
      <c r="S213" s="195"/>
      <c r="T213" s="195"/>
      <c r="U213" s="195"/>
      <c r="V213" s="195"/>
      <c r="W213" s="195"/>
      <c r="X213" s="195"/>
      <c r="Y213" s="195"/>
      <c r="Z213" s="195"/>
      <c r="AA213" s="195"/>
      <c r="AB213" s="195"/>
      <c r="AC213" s="196"/>
      <c r="AD213" s="196"/>
      <c r="AE213" s="196"/>
      <c r="AF213" s="196"/>
      <c r="AG213" s="196"/>
      <c r="AH213" s="196"/>
      <c r="AI213" s="196"/>
      <c r="AJ213" s="195"/>
      <c r="AK213" s="195"/>
      <c r="AL213" s="195"/>
      <c r="AM213" s="195"/>
      <c r="AN213" s="195"/>
      <c r="AO213" s="195"/>
      <c r="AP213" s="195"/>
      <c r="AQ213" s="195"/>
      <c r="AR213" s="195"/>
      <c r="AS213" s="195"/>
      <c r="AT213" s="195"/>
      <c r="AU213" s="195"/>
      <c r="AV213" s="195"/>
      <c r="AW213" s="195"/>
      <c r="AX213" s="191">
        <v>20</v>
      </c>
      <c r="AY213" s="215">
        <v>20</v>
      </c>
      <c r="AZ213" s="283" t="s">
        <v>835</v>
      </c>
      <c r="BA213" s="242" t="s">
        <v>830</v>
      </c>
    </row>
    <row r="214" spans="1:53" s="187" customFormat="1">
      <c r="A214" s="188" t="s">
        <v>827</v>
      </c>
      <c r="B214" s="240">
        <v>8235</v>
      </c>
      <c r="C214" s="240">
        <v>8235</v>
      </c>
      <c r="D214" s="214" t="s">
        <v>1199</v>
      </c>
      <c r="E214" s="191" t="s">
        <v>15</v>
      </c>
      <c r="F214" s="191" t="s">
        <v>59</v>
      </c>
      <c r="G214" s="191" t="s">
        <v>782</v>
      </c>
      <c r="H214" s="193">
        <f t="shared" si="29"/>
        <v>5.1464999999999996</v>
      </c>
      <c r="I214" s="199">
        <v>1.41E-2</v>
      </c>
      <c r="J214" s="194">
        <f t="shared" si="22"/>
        <v>0.42299999999999999</v>
      </c>
      <c r="K214" s="194">
        <f t="shared" si="26"/>
        <v>5.1464999999999996</v>
      </c>
      <c r="L214" s="199">
        <v>1.41E-2</v>
      </c>
      <c r="M214" s="194">
        <f t="shared" si="27"/>
        <v>0.42299999999999999</v>
      </c>
      <c r="N214" s="194">
        <f t="shared" si="28"/>
        <v>0</v>
      </c>
      <c r="O214" s="195"/>
      <c r="P214" s="195"/>
      <c r="Q214" s="195"/>
      <c r="R214" s="195"/>
      <c r="S214" s="195"/>
      <c r="T214" s="195"/>
      <c r="U214" s="195"/>
      <c r="V214" s="195"/>
      <c r="W214" s="195"/>
      <c r="X214" s="195"/>
      <c r="Y214" s="195"/>
      <c r="Z214" s="195"/>
      <c r="AA214" s="195"/>
      <c r="AB214" s="195"/>
      <c r="AC214" s="196"/>
      <c r="AD214" s="196"/>
      <c r="AE214" s="196"/>
      <c r="AF214" s="196"/>
      <c r="AG214" s="196"/>
      <c r="AH214" s="196"/>
      <c r="AI214" s="196"/>
      <c r="AJ214" s="195"/>
      <c r="AK214" s="195"/>
      <c r="AL214" s="195"/>
      <c r="AM214" s="195"/>
      <c r="AN214" s="195"/>
      <c r="AO214" s="195"/>
      <c r="AP214" s="195"/>
      <c r="AQ214" s="195"/>
      <c r="AR214" s="195"/>
      <c r="AS214" s="195"/>
      <c r="AT214" s="195"/>
      <c r="AU214" s="195"/>
      <c r="AV214" s="195"/>
      <c r="AW214" s="195"/>
      <c r="AX214" s="224">
        <v>20</v>
      </c>
      <c r="AY214" s="225">
        <v>20</v>
      </c>
      <c r="AZ214" s="283" t="s">
        <v>835</v>
      </c>
      <c r="BA214" s="235" t="s">
        <v>1200</v>
      </c>
    </row>
    <row r="215" spans="1:53" s="187" customFormat="1">
      <c r="A215" s="188" t="s">
        <v>827</v>
      </c>
      <c r="B215" s="213">
        <v>8272</v>
      </c>
      <c r="C215" s="213">
        <v>8272</v>
      </c>
      <c r="D215" s="284" t="s">
        <v>1201</v>
      </c>
      <c r="E215" s="219" t="s">
        <v>15</v>
      </c>
      <c r="F215" s="191" t="s">
        <v>59</v>
      </c>
      <c r="G215" s="257"/>
      <c r="H215" s="193">
        <f t="shared" si="29"/>
        <v>18.8705</v>
      </c>
      <c r="I215" s="199">
        <v>5.1700000000000003E-2</v>
      </c>
      <c r="J215" s="194">
        <f t="shared" si="22"/>
        <v>1.5510000000000002</v>
      </c>
      <c r="K215" s="194">
        <f t="shared" si="26"/>
        <v>18.8705</v>
      </c>
      <c r="L215" s="199">
        <v>5.1700000000000003E-2</v>
      </c>
      <c r="M215" s="194">
        <f t="shared" si="27"/>
        <v>1.5510000000000002</v>
      </c>
      <c r="N215" s="194">
        <f t="shared" si="28"/>
        <v>0</v>
      </c>
      <c r="O215" s="195"/>
      <c r="P215" s="195"/>
      <c r="Q215" s="195"/>
      <c r="R215" s="195"/>
      <c r="S215" s="195"/>
      <c r="T215" s="195"/>
      <c r="U215" s="195"/>
      <c r="V215" s="195"/>
      <c r="W215" s="195"/>
      <c r="X215" s="195"/>
      <c r="Y215" s="195"/>
      <c r="Z215" s="195"/>
      <c r="AA215" s="195"/>
      <c r="AB215" s="195"/>
      <c r="AC215" s="196"/>
      <c r="AD215" s="196"/>
      <c r="AE215" s="196"/>
      <c r="AF215" s="196"/>
      <c r="AG215" s="196"/>
      <c r="AH215" s="196"/>
      <c r="AI215" s="196"/>
      <c r="AJ215" s="195"/>
      <c r="AK215" s="195"/>
      <c r="AL215" s="195"/>
      <c r="AM215" s="195"/>
      <c r="AN215" s="195"/>
      <c r="AO215" s="195"/>
      <c r="AP215" s="195"/>
      <c r="AQ215" s="195"/>
      <c r="AR215" s="195"/>
      <c r="AS215" s="195"/>
      <c r="AT215" s="195"/>
      <c r="AU215" s="195"/>
      <c r="AV215" s="195"/>
      <c r="AW215" s="195"/>
      <c r="AX215" s="241">
        <v>20</v>
      </c>
      <c r="AY215" s="241" t="s">
        <v>851</v>
      </c>
      <c r="AZ215" s="285" t="s">
        <v>835</v>
      </c>
      <c r="BA215" s="286" t="s">
        <v>855</v>
      </c>
    </row>
    <row r="216" spans="1:53" s="187" customFormat="1" ht="37.5">
      <c r="A216" s="188" t="s">
        <v>827</v>
      </c>
      <c r="B216" s="213">
        <v>8300</v>
      </c>
      <c r="C216" s="213">
        <v>8300</v>
      </c>
      <c r="D216" s="269" t="s">
        <v>1202</v>
      </c>
      <c r="E216" s="219" t="s">
        <v>15</v>
      </c>
      <c r="F216" s="191" t="s">
        <v>59</v>
      </c>
      <c r="G216" s="219"/>
      <c r="H216" s="193">
        <f t="shared" si="29"/>
        <v>5.0735000000000001</v>
      </c>
      <c r="I216" s="199">
        <v>1.3899999999999999E-2</v>
      </c>
      <c r="J216" s="194">
        <f t="shared" si="22"/>
        <v>0.41699999999999998</v>
      </c>
      <c r="K216" s="194">
        <f t="shared" si="26"/>
        <v>4.4895000000000005</v>
      </c>
      <c r="L216" s="199">
        <v>1.23E-2</v>
      </c>
      <c r="M216" s="194">
        <f t="shared" si="27"/>
        <v>0.36899999999999999</v>
      </c>
      <c r="N216" s="194">
        <f t="shared" si="28"/>
        <v>-1.599999999999999E-3</v>
      </c>
      <c r="O216" s="195"/>
      <c r="P216" s="195"/>
      <c r="Q216" s="195"/>
      <c r="R216" s="195"/>
      <c r="S216" s="195"/>
      <c r="T216" s="195"/>
      <c r="U216" s="195"/>
      <c r="V216" s="195"/>
      <c r="W216" s="195"/>
      <c r="X216" s="195"/>
      <c r="Y216" s="195"/>
      <c r="Z216" s="195"/>
      <c r="AA216" s="195"/>
      <c r="AB216" s="195"/>
      <c r="AC216" s="196"/>
      <c r="AD216" s="196"/>
      <c r="AE216" s="196"/>
      <c r="AF216" s="196"/>
      <c r="AG216" s="196"/>
      <c r="AH216" s="196"/>
      <c r="AI216" s="196"/>
      <c r="AJ216" s="195"/>
      <c r="AK216" s="195"/>
      <c r="AL216" s="195"/>
      <c r="AM216" s="195"/>
      <c r="AN216" s="195"/>
      <c r="AO216" s="195"/>
      <c r="AP216" s="195"/>
      <c r="AQ216" s="195"/>
      <c r="AR216" s="195"/>
      <c r="AS216" s="195"/>
      <c r="AT216" s="195"/>
      <c r="AU216" s="195"/>
      <c r="AV216" s="195"/>
      <c r="AW216" s="195"/>
      <c r="AX216" s="241">
        <v>20</v>
      </c>
      <c r="AY216" s="241">
        <v>20</v>
      </c>
      <c r="AZ216" s="285" t="s">
        <v>1203</v>
      </c>
      <c r="BA216" s="286" t="s">
        <v>830</v>
      </c>
    </row>
    <row r="217" spans="1:53" s="187" customFormat="1">
      <c r="A217" s="188" t="s">
        <v>827</v>
      </c>
      <c r="B217" s="213">
        <v>8344</v>
      </c>
      <c r="C217" s="213">
        <v>8344</v>
      </c>
      <c r="D217" s="284" t="s">
        <v>1204</v>
      </c>
      <c r="E217" s="219" t="s">
        <v>15</v>
      </c>
      <c r="F217" s="191" t="s">
        <v>56</v>
      </c>
      <c r="G217" s="219"/>
      <c r="H217" s="193">
        <f t="shared" si="29"/>
        <v>85.410000000000011</v>
      </c>
      <c r="I217" s="199">
        <v>0.23400000000000001</v>
      </c>
      <c r="J217" s="194">
        <f t="shared" si="22"/>
        <v>7.0200000000000005</v>
      </c>
      <c r="K217" s="194">
        <f t="shared" si="26"/>
        <v>85.410000000000011</v>
      </c>
      <c r="L217" s="199">
        <v>0.23400000000000001</v>
      </c>
      <c r="M217" s="194">
        <f t="shared" si="27"/>
        <v>7.0200000000000005</v>
      </c>
      <c r="N217" s="194">
        <f t="shared" si="28"/>
        <v>0</v>
      </c>
      <c r="O217" s="195"/>
      <c r="P217" s="195"/>
      <c r="Q217" s="195"/>
      <c r="R217" s="195"/>
      <c r="S217" s="195"/>
      <c r="T217" s="195"/>
      <c r="U217" s="195"/>
      <c r="V217" s="195"/>
      <c r="W217" s="195"/>
      <c r="X217" s="195"/>
      <c r="Y217" s="195"/>
      <c r="Z217" s="195"/>
      <c r="AA217" s="195"/>
      <c r="AB217" s="195"/>
      <c r="AC217" s="196"/>
      <c r="AD217" s="196"/>
      <c r="AE217" s="196"/>
      <c r="AF217" s="196"/>
      <c r="AG217" s="196"/>
      <c r="AH217" s="196"/>
      <c r="AI217" s="196"/>
      <c r="AJ217" s="195"/>
      <c r="AK217" s="195"/>
      <c r="AL217" s="195"/>
      <c r="AM217" s="195"/>
      <c r="AN217" s="195"/>
      <c r="AO217" s="195"/>
      <c r="AP217" s="195"/>
      <c r="AQ217" s="195"/>
      <c r="AR217" s="195"/>
      <c r="AS217" s="195"/>
      <c r="AT217" s="195"/>
      <c r="AU217" s="195"/>
      <c r="AV217" s="195"/>
      <c r="AW217" s="195"/>
      <c r="AX217" s="226">
        <v>20</v>
      </c>
      <c r="AY217" s="226">
        <v>20</v>
      </c>
      <c r="AZ217" s="285" t="s">
        <v>765</v>
      </c>
      <c r="BA217" s="286" t="s">
        <v>830</v>
      </c>
    </row>
    <row r="218" spans="1:53" s="187" customFormat="1">
      <c r="A218" s="188" t="s">
        <v>827</v>
      </c>
      <c r="B218" s="213">
        <v>8464</v>
      </c>
      <c r="C218" s="213">
        <v>8464</v>
      </c>
      <c r="D218" s="284" t="s">
        <v>1205</v>
      </c>
      <c r="E218" s="219" t="s">
        <v>15</v>
      </c>
      <c r="F218" s="191" t="s">
        <v>58</v>
      </c>
      <c r="G218" s="257"/>
      <c r="H218" s="193">
        <f t="shared" si="29"/>
        <v>79.204999999999998</v>
      </c>
      <c r="I218" s="199">
        <v>0.217</v>
      </c>
      <c r="J218" s="194">
        <f t="shared" si="22"/>
        <v>6.51</v>
      </c>
      <c r="K218" s="194">
        <f t="shared" si="26"/>
        <v>79.204999999999998</v>
      </c>
      <c r="L218" s="199">
        <v>0.217</v>
      </c>
      <c r="M218" s="194">
        <f t="shared" si="27"/>
        <v>6.51</v>
      </c>
      <c r="N218" s="194">
        <f t="shared" si="28"/>
        <v>0</v>
      </c>
      <c r="O218" s="195"/>
      <c r="P218" s="195"/>
      <c r="Q218" s="195"/>
      <c r="R218" s="195"/>
      <c r="S218" s="195"/>
      <c r="T218" s="195"/>
      <c r="U218" s="195"/>
      <c r="V218" s="195"/>
      <c r="W218" s="195"/>
      <c r="X218" s="195"/>
      <c r="Y218" s="195"/>
      <c r="Z218" s="195"/>
      <c r="AA218" s="195"/>
      <c r="AB218" s="195"/>
      <c r="AC218" s="196"/>
      <c r="AD218" s="196"/>
      <c r="AE218" s="196"/>
      <c r="AF218" s="196"/>
      <c r="AG218" s="196"/>
      <c r="AH218" s="196"/>
      <c r="AI218" s="196"/>
      <c r="AJ218" s="195"/>
      <c r="AK218" s="195"/>
      <c r="AL218" s="195"/>
      <c r="AM218" s="195"/>
      <c r="AN218" s="195"/>
      <c r="AO218" s="195"/>
      <c r="AP218" s="195"/>
      <c r="AQ218" s="195"/>
      <c r="AR218" s="195"/>
      <c r="AS218" s="195"/>
      <c r="AT218" s="195"/>
      <c r="AU218" s="195"/>
      <c r="AV218" s="195"/>
      <c r="AW218" s="195"/>
      <c r="AX218" s="226">
        <v>20</v>
      </c>
      <c r="AY218" s="226" t="s">
        <v>851</v>
      </c>
      <c r="AZ218" s="285" t="s">
        <v>765</v>
      </c>
      <c r="BA218" s="286" t="s">
        <v>833</v>
      </c>
    </row>
    <row r="219" spans="1:53" s="187" customFormat="1">
      <c r="A219" s="188" t="s">
        <v>827</v>
      </c>
      <c r="B219" s="213">
        <v>8466</v>
      </c>
      <c r="C219" s="213">
        <v>8466</v>
      </c>
      <c r="D219" s="284" t="s">
        <v>1206</v>
      </c>
      <c r="E219" s="219" t="s">
        <v>15</v>
      </c>
      <c r="F219" s="191" t="s">
        <v>58</v>
      </c>
      <c r="G219" s="212"/>
      <c r="H219" s="193">
        <f t="shared" si="29"/>
        <v>18.760999999999999</v>
      </c>
      <c r="I219" s="199">
        <v>5.1400000000000001E-2</v>
      </c>
      <c r="J219" s="194">
        <f t="shared" si="22"/>
        <v>1.542</v>
      </c>
      <c r="K219" s="194">
        <f t="shared" si="26"/>
        <v>18.760999999999999</v>
      </c>
      <c r="L219" s="199">
        <v>5.1400000000000001E-2</v>
      </c>
      <c r="M219" s="194">
        <f t="shared" si="27"/>
        <v>1.542</v>
      </c>
      <c r="N219" s="194">
        <f t="shared" si="28"/>
        <v>0</v>
      </c>
      <c r="O219" s="195"/>
      <c r="P219" s="195"/>
      <c r="Q219" s="195"/>
      <c r="R219" s="195"/>
      <c r="S219" s="195"/>
      <c r="T219" s="195"/>
      <c r="U219" s="195"/>
      <c r="V219" s="195"/>
      <c r="W219" s="195"/>
      <c r="X219" s="195"/>
      <c r="Y219" s="195"/>
      <c r="Z219" s="195"/>
      <c r="AA219" s="195"/>
      <c r="AB219" s="195"/>
      <c r="AC219" s="196"/>
      <c r="AD219" s="196"/>
      <c r="AE219" s="196"/>
      <c r="AF219" s="196"/>
      <c r="AG219" s="196"/>
      <c r="AH219" s="196"/>
      <c r="AI219" s="196"/>
      <c r="AJ219" s="195"/>
      <c r="AK219" s="195"/>
      <c r="AL219" s="195"/>
      <c r="AM219" s="195"/>
      <c r="AN219" s="195"/>
      <c r="AO219" s="195"/>
      <c r="AP219" s="195"/>
      <c r="AQ219" s="195"/>
      <c r="AR219" s="195"/>
      <c r="AS219" s="195"/>
      <c r="AT219" s="195"/>
      <c r="AU219" s="195"/>
      <c r="AV219" s="195"/>
      <c r="AW219" s="195"/>
      <c r="AX219" s="219">
        <v>20</v>
      </c>
      <c r="AY219" s="219" t="s">
        <v>851</v>
      </c>
      <c r="AZ219" s="285" t="s">
        <v>832</v>
      </c>
      <c r="BA219" s="286" t="s">
        <v>1207</v>
      </c>
    </row>
    <row r="220" spans="1:53" s="187" customFormat="1">
      <c r="A220" s="188" t="s">
        <v>827</v>
      </c>
      <c r="B220" s="213">
        <v>8468</v>
      </c>
      <c r="C220" s="213">
        <v>8468</v>
      </c>
      <c r="D220" s="214" t="s">
        <v>1208</v>
      </c>
      <c r="E220" s="191" t="s">
        <v>15</v>
      </c>
      <c r="F220" s="191" t="s">
        <v>56</v>
      </c>
      <c r="G220" s="212"/>
      <c r="H220" s="193">
        <f t="shared" si="29"/>
        <v>433.32800000000003</v>
      </c>
      <c r="I220" s="194">
        <v>1.1872</v>
      </c>
      <c r="J220" s="194">
        <f t="shared" si="22"/>
        <v>35.616</v>
      </c>
      <c r="K220" s="194">
        <f t="shared" si="26"/>
        <v>433.32800000000003</v>
      </c>
      <c r="L220" s="194">
        <v>1.1872</v>
      </c>
      <c r="M220" s="194">
        <f t="shared" si="27"/>
        <v>35.616</v>
      </c>
      <c r="N220" s="194">
        <f t="shared" si="28"/>
        <v>0</v>
      </c>
      <c r="O220" s="195"/>
      <c r="P220" s="195"/>
      <c r="Q220" s="195"/>
      <c r="R220" s="195"/>
      <c r="S220" s="195"/>
      <c r="T220" s="195"/>
      <c r="U220" s="195"/>
      <c r="V220" s="195"/>
      <c r="W220" s="195"/>
      <c r="X220" s="195"/>
      <c r="Y220" s="195"/>
      <c r="Z220" s="195"/>
      <c r="AA220" s="195"/>
      <c r="AB220" s="195"/>
      <c r="AC220" s="196"/>
      <c r="AD220" s="196"/>
      <c r="AE220" s="196"/>
      <c r="AF220" s="196"/>
      <c r="AG220" s="196"/>
      <c r="AH220" s="196"/>
      <c r="AI220" s="196"/>
      <c r="AJ220" s="195"/>
      <c r="AK220" s="195"/>
      <c r="AL220" s="195"/>
      <c r="AM220" s="195"/>
      <c r="AN220" s="195"/>
      <c r="AO220" s="195"/>
      <c r="AP220" s="195"/>
      <c r="AQ220" s="195"/>
      <c r="AR220" s="195"/>
      <c r="AS220" s="195"/>
      <c r="AT220" s="195"/>
      <c r="AU220" s="195"/>
      <c r="AV220" s="195"/>
      <c r="AW220" s="195"/>
      <c r="AX220" s="191">
        <v>20</v>
      </c>
      <c r="AY220" s="215">
        <v>20</v>
      </c>
      <c r="AZ220" s="216" t="s">
        <v>769</v>
      </c>
      <c r="BA220" s="242" t="s">
        <v>868</v>
      </c>
    </row>
    <row r="221" spans="1:53" s="187" customFormat="1">
      <c r="A221" s="188" t="s">
        <v>827</v>
      </c>
      <c r="B221" s="213">
        <v>8472</v>
      </c>
      <c r="C221" s="213">
        <v>8472</v>
      </c>
      <c r="D221" s="284" t="s">
        <v>1209</v>
      </c>
      <c r="E221" s="219" t="s">
        <v>15</v>
      </c>
      <c r="F221" s="191" t="s">
        <v>58</v>
      </c>
      <c r="G221" s="191"/>
      <c r="H221" s="193">
        <f t="shared" si="29"/>
        <v>55.4435</v>
      </c>
      <c r="I221" s="199">
        <v>0.15190000000000001</v>
      </c>
      <c r="J221" s="194">
        <f t="shared" si="22"/>
        <v>4.5570000000000004</v>
      </c>
      <c r="K221" s="194">
        <f t="shared" si="26"/>
        <v>55.4435</v>
      </c>
      <c r="L221" s="199">
        <v>0.15190000000000001</v>
      </c>
      <c r="M221" s="194">
        <f t="shared" si="27"/>
        <v>4.5570000000000004</v>
      </c>
      <c r="N221" s="194">
        <f t="shared" si="28"/>
        <v>0</v>
      </c>
      <c r="O221" s="195"/>
      <c r="P221" s="195"/>
      <c r="Q221" s="195"/>
      <c r="R221" s="195"/>
      <c r="S221" s="195"/>
      <c r="T221" s="195"/>
      <c r="U221" s="195"/>
      <c r="V221" s="195"/>
      <c r="W221" s="195"/>
      <c r="X221" s="195"/>
      <c r="Y221" s="195"/>
      <c r="Z221" s="195"/>
      <c r="AA221" s="195"/>
      <c r="AB221" s="195"/>
      <c r="AC221" s="196"/>
      <c r="AD221" s="196"/>
      <c r="AE221" s="196"/>
      <c r="AF221" s="196"/>
      <c r="AG221" s="196"/>
      <c r="AH221" s="196"/>
      <c r="AI221" s="196"/>
      <c r="AJ221" s="195"/>
      <c r="AK221" s="195"/>
      <c r="AL221" s="195"/>
      <c r="AM221" s="195"/>
      <c r="AN221" s="195"/>
      <c r="AO221" s="195"/>
      <c r="AP221" s="195"/>
      <c r="AQ221" s="195"/>
      <c r="AR221" s="195"/>
      <c r="AS221" s="195"/>
      <c r="AT221" s="195"/>
      <c r="AU221" s="195"/>
      <c r="AV221" s="195"/>
      <c r="AW221" s="195"/>
      <c r="AX221" s="219">
        <v>20</v>
      </c>
      <c r="AY221" s="219" t="s">
        <v>851</v>
      </c>
      <c r="AZ221" s="285" t="s">
        <v>832</v>
      </c>
      <c r="BA221" s="286" t="s">
        <v>1061</v>
      </c>
    </row>
    <row r="222" spans="1:53" s="187" customFormat="1">
      <c r="A222" s="188" t="s">
        <v>827</v>
      </c>
      <c r="B222" s="213">
        <v>8547</v>
      </c>
      <c r="C222" s="213">
        <v>8547</v>
      </c>
      <c r="D222" s="223" t="s">
        <v>1210</v>
      </c>
      <c r="E222" s="191" t="s">
        <v>15</v>
      </c>
      <c r="F222" s="191" t="s">
        <v>60</v>
      </c>
      <c r="G222" s="191"/>
      <c r="H222" s="193">
        <f t="shared" si="29"/>
        <v>93.951000000000008</v>
      </c>
      <c r="I222" s="194">
        <v>0.25740000000000002</v>
      </c>
      <c r="J222" s="194">
        <f t="shared" si="22"/>
        <v>7.7220000000000004</v>
      </c>
      <c r="K222" s="194">
        <f t="shared" si="26"/>
        <v>93.951000000000008</v>
      </c>
      <c r="L222" s="194">
        <v>0.25740000000000002</v>
      </c>
      <c r="M222" s="194">
        <f t="shared" si="27"/>
        <v>7.7220000000000004</v>
      </c>
      <c r="N222" s="194">
        <f t="shared" si="28"/>
        <v>0</v>
      </c>
      <c r="O222" s="195"/>
      <c r="P222" s="195"/>
      <c r="Q222" s="195"/>
      <c r="R222" s="195"/>
      <c r="S222" s="195"/>
      <c r="T222" s="195"/>
      <c r="U222" s="195"/>
      <c r="V222" s="195"/>
      <c r="W222" s="195"/>
      <c r="X222" s="195"/>
      <c r="Y222" s="195"/>
      <c r="Z222" s="195"/>
      <c r="AA222" s="195"/>
      <c r="AB222" s="195"/>
      <c r="AC222" s="196"/>
      <c r="AD222" s="196"/>
      <c r="AE222" s="196"/>
      <c r="AF222" s="196"/>
      <c r="AG222" s="196"/>
      <c r="AH222" s="196"/>
      <c r="AI222" s="196"/>
      <c r="AJ222" s="195"/>
      <c r="AK222" s="195"/>
      <c r="AL222" s="195"/>
      <c r="AM222" s="195"/>
      <c r="AN222" s="195"/>
      <c r="AO222" s="195"/>
      <c r="AP222" s="195"/>
      <c r="AQ222" s="195"/>
      <c r="AR222" s="195"/>
      <c r="AS222" s="195"/>
      <c r="AT222" s="195"/>
      <c r="AU222" s="195"/>
      <c r="AV222" s="195"/>
      <c r="AW222" s="195"/>
      <c r="AX222" s="191">
        <v>10</v>
      </c>
      <c r="AY222" s="215">
        <v>10</v>
      </c>
      <c r="AZ222" s="216" t="s">
        <v>832</v>
      </c>
      <c r="BA222" s="242" t="s">
        <v>1211</v>
      </c>
    </row>
    <row r="223" spans="1:53" s="187" customFormat="1">
      <c r="A223" s="188" t="s">
        <v>827</v>
      </c>
      <c r="B223" s="213">
        <v>8553</v>
      </c>
      <c r="C223" s="213">
        <v>8553</v>
      </c>
      <c r="D223" s="223" t="s">
        <v>1212</v>
      </c>
      <c r="E223" s="191" t="s">
        <v>15</v>
      </c>
      <c r="F223" s="191" t="s">
        <v>58</v>
      </c>
      <c r="G223" s="191"/>
      <c r="H223" s="193">
        <f t="shared" si="29"/>
        <v>102.3095</v>
      </c>
      <c r="I223" s="194">
        <v>0.28029999999999999</v>
      </c>
      <c r="J223" s="194">
        <f t="shared" si="22"/>
        <v>8.4089999999999989</v>
      </c>
      <c r="K223" s="194">
        <f t="shared" si="26"/>
        <v>98.148499999999984</v>
      </c>
      <c r="L223" s="194">
        <v>0.26889999999999997</v>
      </c>
      <c r="M223" s="194">
        <f t="shared" si="27"/>
        <v>8.0669999999999984</v>
      </c>
      <c r="N223" s="194">
        <f t="shared" si="28"/>
        <v>-1.1400000000000021E-2</v>
      </c>
      <c r="O223" s="195"/>
      <c r="P223" s="195"/>
      <c r="Q223" s="195"/>
      <c r="R223" s="195"/>
      <c r="S223" s="195"/>
      <c r="T223" s="195"/>
      <c r="U223" s="195"/>
      <c r="V223" s="195"/>
      <c r="W223" s="195"/>
      <c r="X223" s="195"/>
      <c r="Y223" s="195"/>
      <c r="Z223" s="195"/>
      <c r="AA223" s="195"/>
      <c r="AB223" s="195"/>
      <c r="AC223" s="196"/>
      <c r="AD223" s="196"/>
      <c r="AE223" s="196"/>
      <c r="AF223" s="196"/>
      <c r="AG223" s="196"/>
      <c r="AH223" s="196"/>
      <c r="AI223" s="196"/>
      <c r="AJ223" s="195"/>
      <c r="AK223" s="195"/>
      <c r="AL223" s="195"/>
      <c r="AM223" s="195"/>
      <c r="AN223" s="195"/>
      <c r="AO223" s="195"/>
      <c r="AP223" s="195"/>
      <c r="AQ223" s="195"/>
      <c r="AR223" s="195"/>
      <c r="AS223" s="195"/>
      <c r="AT223" s="195"/>
      <c r="AU223" s="195"/>
      <c r="AV223" s="195"/>
      <c r="AW223" s="195"/>
      <c r="AX223" s="191">
        <v>20</v>
      </c>
      <c r="AY223" s="215" t="s">
        <v>851</v>
      </c>
      <c r="AZ223" s="216" t="s">
        <v>769</v>
      </c>
      <c r="BA223" s="242" t="s">
        <v>830</v>
      </c>
    </row>
    <row r="224" spans="1:53" s="187" customFormat="1">
      <c r="A224" s="188" t="s">
        <v>827</v>
      </c>
      <c r="B224" s="213">
        <v>8581</v>
      </c>
      <c r="C224" s="213">
        <v>8581</v>
      </c>
      <c r="D224" s="223" t="s">
        <v>1213</v>
      </c>
      <c r="E224" s="191" t="s">
        <v>15</v>
      </c>
      <c r="F224" s="191" t="s">
        <v>59</v>
      </c>
      <c r="G224" s="219"/>
      <c r="H224" s="193">
        <f t="shared" si="29"/>
        <v>10.1105</v>
      </c>
      <c r="I224" s="194">
        <v>2.7699999999999999E-2</v>
      </c>
      <c r="J224" s="194">
        <f t="shared" si="22"/>
        <v>0.83099999999999996</v>
      </c>
      <c r="K224" s="194">
        <f t="shared" si="26"/>
        <v>10.1105</v>
      </c>
      <c r="L224" s="194">
        <v>2.7699999999999999E-2</v>
      </c>
      <c r="M224" s="194">
        <f t="shared" si="27"/>
        <v>0.83099999999999996</v>
      </c>
      <c r="N224" s="194">
        <f t="shared" si="28"/>
        <v>0</v>
      </c>
      <c r="O224" s="195"/>
      <c r="P224" s="195"/>
      <c r="Q224" s="195"/>
      <c r="R224" s="195"/>
      <c r="S224" s="195"/>
      <c r="T224" s="195"/>
      <c r="U224" s="195"/>
      <c r="V224" s="195"/>
      <c r="W224" s="195"/>
      <c r="X224" s="195"/>
      <c r="Y224" s="195"/>
      <c r="Z224" s="195"/>
      <c r="AA224" s="195"/>
      <c r="AB224" s="195"/>
      <c r="AC224" s="196"/>
      <c r="AD224" s="196"/>
      <c r="AE224" s="196"/>
      <c r="AF224" s="196"/>
      <c r="AG224" s="196"/>
      <c r="AH224" s="196"/>
      <c r="AI224" s="196"/>
      <c r="AJ224" s="195"/>
      <c r="AK224" s="195"/>
      <c r="AL224" s="195"/>
      <c r="AM224" s="195"/>
      <c r="AN224" s="195"/>
      <c r="AO224" s="195"/>
      <c r="AP224" s="195"/>
      <c r="AQ224" s="195"/>
      <c r="AR224" s="195"/>
      <c r="AS224" s="195"/>
      <c r="AT224" s="195"/>
      <c r="AU224" s="195"/>
      <c r="AV224" s="195"/>
      <c r="AW224" s="195"/>
      <c r="AX224" s="191">
        <v>20</v>
      </c>
      <c r="AY224" s="215">
        <v>20</v>
      </c>
      <c r="AZ224" s="216" t="s">
        <v>1214</v>
      </c>
      <c r="BA224" s="242" t="s">
        <v>855</v>
      </c>
    </row>
    <row r="225" spans="1:53" s="187" customFormat="1">
      <c r="A225" s="188" t="s">
        <v>827</v>
      </c>
      <c r="B225" s="189">
        <v>8604</v>
      </c>
      <c r="C225" s="189">
        <v>8604</v>
      </c>
      <c r="D225" s="188" t="s">
        <v>1215</v>
      </c>
      <c r="E225" s="191" t="s">
        <v>15</v>
      </c>
      <c r="F225" s="191" t="s">
        <v>59</v>
      </c>
      <c r="G225" s="191"/>
      <c r="H225" s="193">
        <f t="shared" si="29"/>
        <v>7.4824999999999999</v>
      </c>
      <c r="I225" s="194">
        <v>2.0500000000000001E-2</v>
      </c>
      <c r="J225" s="194">
        <f t="shared" si="22"/>
        <v>0.61499999999999999</v>
      </c>
      <c r="K225" s="194">
        <f t="shared" si="26"/>
        <v>11.3515</v>
      </c>
      <c r="L225" s="194">
        <v>3.1099999999999999E-2</v>
      </c>
      <c r="M225" s="194">
        <f t="shared" si="27"/>
        <v>0.93299999999999994</v>
      </c>
      <c r="N225" s="194">
        <f t="shared" si="28"/>
        <v>1.0599999999999998E-2</v>
      </c>
      <c r="O225" s="195"/>
      <c r="P225" s="195"/>
      <c r="Q225" s="195"/>
      <c r="R225" s="195"/>
      <c r="S225" s="195"/>
      <c r="T225" s="195"/>
      <c r="U225" s="195"/>
      <c r="V225" s="195"/>
      <c r="W225" s="195"/>
      <c r="X225" s="195"/>
      <c r="Y225" s="195"/>
      <c r="Z225" s="195"/>
      <c r="AA225" s="195"/>
      <c r="AB225" s="195"/>
      <c r="AC225" s="196"/>
      <c r="AD225" s="196"/>
      <c r="AE225" s="196"/>
      <c r="AF225" s="196"/>
      <c r="AG225" s="196"/>
      <c r="AH225" s="196"/>
      <c r="AI225" s="196"/>
      <c r="AJ225" s="195"/>
      <c r="AK225" s="195"/>
      <c r="AL225" s="195"/>
      <c r="AM225" s="195"/>
      <c r="AN225" s="195"/>
      <c r="AO225" s="195"/>
      <c r="AP225" s="195"/>
      <c r="AQ225" s="195"/>
      <c r="AR225" s="195"/>
      <c r="AS225" s="195"/>
      <c r="AT225" s="195"/>
      <c r="AU225" s="195"/>
      <c r="AV225" s="195"/>
      <c r="AW225" s="195"/>
      <c r="AX225" s="191" t="s">
        <v>959</v>
      </c>
      <c r="AY225" s="215" t="s">
        <v>959</v>
      </c>
      <c r="AZ225" s="207" t="s">
        <v>897</v>
      </c>
      <c r="BA225" s="188" t="s">
        <v>836</v>
      </c>
    </row>
    <row r="226" spans="1:53" s="187" customFormat="1">
      <c r="A226" s="188" t="s">
        <v>827</v>
      </c>
      <c r="B226" s="240">
        <v>8607</v>
      </c>
      <c r="C226" s="240">
        <v>8607</v>
      </c>
      <c r="D226" s="214" t="s">
        <v>1216</v>
      </c>
      <c r="E226" s="191" t="s">
        <v>15</v>
      </c>
      <c r="F226" s="191" t="s">
        <v>59</v>
      </c>
      <c r="G226" s="191" t="s">
        <v>782</v>
      </c>
      <c r="H226" s="193">
        <f t="shared" si="29"/>
        <v>7.8109999999999999</v>
      </c>
      <c r="I226" s="199">
        <v>2.1399999999999999E-2</v>
      </c>
      <c r="J226" s="194">
        <f t="shared" si="22"/>
        <v>0.64200000000000002</v>
      </c>
      <c r="K226" s="194">
        <f t="shared" si="26"/>
        <v>7.8109999999999999</v>
      </c>
      <c r="L226" s="199">
        <v>2.1399999999999999E-2</v>
      </c>
      <c r="M226" s="194">
        <f t="shared" si="27"/>
        <v>0.64200000000000002</v>
      </c>
      <c r="N226" s="194">
        <f t="shared" si="28"/>
        <v>0</v>
      </c>
      <c r="O226" s="195"/>
      <c r="P226" s="195"/>
      <c r="Q226" s="195"/>
      <c r="R226" s="195"/>
      <c r="S226" s="195"/>
      <c r="T226" s="195"/>
      <c r="U226" s="195"/>
      <c r="V226" s="195"/>
      <c r="W226" s="195"/>
      <c r="X226" s="195"/>
      <c r="Y226" s="195"/>
      <c r="Z226" s="195"/>
      <c r="AA226" s="195"/>
      <c r="AB226" s="195"/>
      <c r="AC226" s="196"/>
      <c r="AD226" s="196"/>
      <c r="AE226" s="196"/>
      <c r="AF226" s="196"/>
      <c r="AG226" s="196"/>
      <c r="AH226" s="196"/>
      <c r="AI226" s="196"/>
      <c r="AJ226" s="195"/>
      <c r="AK226" s="195"/>
      <c r="AL226" s="195"/>
      <c r="AM226" s="195"/>
      <c r="AN226" s="195"/>
      <c r="AO226" s="195"/>
      <c r="AP226" s="195"/>
      <c r="AQ226" s="195"/>
      <c r="AR226" s="195"/>
      <c r="AS226" s="195"/>
      <c r="AT226" s="195"/>
      <c r="AU226" s="195"/>
      <c r="AV226" s="195"/>
      <c r="AW226" s="195"/>
      <c r="AX226" s="224">
        <v>20</v>
      </c>
      <c r="AY226" s="225">
        <v>20</v>
      </c>
      <c r="AZ226" s="283" t="s">
        <v>835</v>
      </c>
      <c r="BA226" s="214" t="s">
        <v>1217</v>
      </c>
    </row>
    <row r="227" spans="1:53" s="187" customFormat="1">
      <c r="A227" s="188" t="s">
        <v>827</v>
      </c>
      <c r="B227" s="287">
        <v>8615</v>
      </c>
      <c r="C227" s="287">
        <v>8615</v>
      </c>
      <c r="D227" s="214" t="s">
        <v>1218</v>
      </c>
      <c r="E227" s="191" t="s">
        <v>15</v>
      </c>
      <c r="F227" s="191" t="s">
        <v>59</v>
      </c>
      <c r="G227" s="224"/>
      <c r="H227" s="193">
        <f t="shared" si="29"/>
        <v>1.46</v>
      </c>
      <c r="I227" s="194">
        <v>4.0000000000000001E-3</v>
      </c>
      <c r="J227" s="194">
        <f t="shared" ref="J227:J230" si="30">I227*30</f>
        <v>0.12</v>
      </c>
      <c r="K227" s="194">
        <f t="shared" si="26"/>
        <v>1.46</v>
      </c>
      <c r="L227" s="194">
        <v>4.0000000000000001E-3</v>
      </c>
      <c r="M227" s="194">
        <f t="shared" si="27"/>
        <v>0.12</v>
      </c>
      <c r="N227" s="194">
        <f t="shared" si="28"/>
        <v>0</v>
      </c>
      <c r="O227" s="195"/>
      <c r="P227" s="195"/>
      <c r="Q227" s="195"/>
      <c r="R227" s="195"/>
      <c r="S227" s="195"/>
      <c r="T227" s="195"/>
      <c r="U227" s="195"/>
      <c r="V227" s="195"/>
      <c r="W227" s="195"/>
      <c r="X227" s="195"/>
      <c r="Y227" s="195"/>
      <c r="Z227" s="195"/>
      <c r="AA227" s="195"/>
      <c r="AB227" s="195"/>
      <c r="AC227" s="196"/>
      <c r="AD227" s="196"/>
      <c r="AE227" s="196"/>
      <c r="AF227" s="196"/>
      <c r="AG227" s="196"/>
      <c r="AH227" s="196"/>
      <c r="AI227" s="196"/>
      <c r="AJ227" s="195"/>
      <c r="AK227" s="195"/>
      <c r="AL227" s="195"/>
      <c r="AM227" s="195"/>
      <c r="AN227" s="195"/>
      <c r="AO227" s="195"/>
      <c r="AP227" s="195"/>
      <c r="AQ227" s="195"/>
      <c r="AR227" s="195"/>
      <c r="AS227" s="195"/>
      <c r="AT227" s="195"/>
      <c r="AU227" s="195"/>
      <c r="AV227" s="195"/>
      <c r="AW227" s="195"/>
      <c r="AX227" s="241" t="s">
        <v>515</v>
      </c>
      <c r="AY227" s="241" t="s">
        <v>515</v>
      </c>
      <c r="AZ227" s="216" t="s">
        <v>980</v>
      </c>
      <c r="BA227" s="245" t="s">
        <v>908</v>
      </c>
    </row>
    <row r="228" spans="1:53" s="187" customFormat="1">
      <c r="A228" s="188" t="s">
        <v>827</v>
      </c>
      <c r="B228" s="213">
        <v>8768</v>
      </c>
      <c r="C228" s="213">
        <v>8768</v>
      </c>
      <c r="D228" s="223" t="s">
        <v>1219</v>
      </c>
      <c r="E228" s="191" t="s">
        <v>921</v>
      </c>
      <c r="F228" s="191" t="s">
        <v>59</v>
      </c>
      <c r="G228" s="224"/>
      <c r="H228" s="193">
        <f t="shared" si="29"/>
        <v>5.2925000000000004</v>
      </c>
      <c r="I228" s="194">
        <v>1.4500000000000001E-2</v>
      </c>
      <c r="J228" s="194">
        <f t="shared" si="30"/>
        <v>0.435</v>
      </c>
      <c r="K228" s="194">
        <f t="shared" si="26"/>
        <v>5.2925000000000004</v>
      </c>
      <c r="L228" s="194">
        <v>1.4500000000000001E-2</v>
      </c>
      <c r="M228" s="194">
        <f t="shared" si="27"/>
        <v>0.435</v>
      </c>
      <c r="N228" s="194">
        <f t="shared" si="28"/>
        <v>0</v>
      </c>
      <c r="O228" s="195"/>
      <c r="P228" s="195"/>
      <c r="Q228" s="195"/>
      <c r="R228" s="195"/>
      <c r="S228" s="195"/>
      <c r="T228" s="195"/>
      <c r="U228" s="195"/>
      <c r="V228" s="195"/>
      <c r="W228" s="195"/>
      <c r="X228" s="195"/>
      <c r="Y228" s="195"/>
      <c r="Z228" s="195"/>
      <c r="AA228" s="195"/>
      <c r="AB228" s="195"/>
      <c r="AC228" s="196"/>
      <c r="AD228" s="196"/>
      <c r="AE228" s="196"/>
      <c r="AF228" s="196"/>
      <c r="AG228" s="196"/>
      <c r="AH228" s="196"/>
      <c r="AI228" s="196"/>
      <c r="AJ228" s="195"/>
      <c r="AK228" s="195"/>
      <c r="AL228" s="195"/>
      <c r="AM228" s="195"/>
      <c r="AN228" s="195"/>
      <c r="AO228" s="195"/>
      <c r="AP228" s="195"/>
      <c r="AQ228" s="195"/>
      <c r="AR228" s="195"/>
      <c r="AS228" s="195"/>
      <c r="AT228" s="195"/>
      <c r="AU228" s="195"/>
      <c r="AV228" s="195"/>
      <c r="AW228" s="195"/>
      <c r="AX228" s="224">
        <v>20</v>
      </c>
      <c r="AY228" s="225">
        <v>20</v>
      </c>
      <c r="AZ228" s="216" t="s">
        <v>765</v>
      </c>
      <c r="BA228" s="223" t="s">
        <v>1220</v>
      </c>
    </row>
    <row r="229" spans="1:53" s="187" customFormat="1">
      <c r="A229" s="188" t="s">
        <v>827</v>
      </c>
      <c r="B229" s="213">
        <v>8893</v>
      </c>
      <c r="C229" s="213">
        <v>8893</v>
      </c>
      <c r="D229" s="223" t="s">
        <v>1221</v>
      </c>
      <c r="E229" s="191" t="s">
        <v>15</v>
      </c>
      <c r="F229" s="191" t="s">
        <v>59</v>
      </c>
      <c r="G229" s="224"/>
      <c r="H229" s="193">
        <f t="shared" si="29"/>
        <v>20.074999999999999</v>
      </c>
      <c r="I229" s="194">
        <v>5.5E-2</v>
      </c>
      <c r="J229" s="194">
        <f t="shared" si="30"/>
        <v>1.65</v>
      </c>
      <c r="K229" s="194">
        <f t="shared" si="26"/>
        <v>20.074999999999999</v>
      </c>
      <c r="L229" s="194">
        <v>5.5E-2</v>
      </c>
      <c r="M229" s="194">
        <f t="shared" si="27"/>
        <v>1.65</v>
      </c>
      <c r="N229" s="194">
        <f t="shared" si="28"/>
        <v>0</v>
      </c>
      <c r="O229" s="195"/>
      <c r="P229" s="195"/>
      <c r="Q229" s="195"/>
      <c r="R229" s="195"/>
      <c r="S229" s="195"/>
      <c r="T229" s="195"/>
      <c r="U229" s="195"/>
      <c r="V229" s="195"/>
      <c r="W229" s="195"/>
      <c r="X229" s="195"/>
      <c r="Y229" s="195"/>
      <c r="Z229" s="195"/>
      <c r="AA229" s="195"/>
      <c r="AB229" s="195"/>
      <c r="AC229" s="196"/>
      <c r="AD229" s="196"/>
      <c r="AE229" s="196"/>
      <c r="AF229" s="196"/>
      <c r="AG229" s="196"/>
      <c r="AH229" s="196"/>
      <c r="AI229" s="196"/>
      <c r="AJ229" s="195"/>
      <c r="AK229" s="195"/>
      <c r="AL229" s="195"/>
      <c r="AM229" s="195"/>
      <c r="AN229" s="195"/>
      <c r="AO229" s="195"/>
      <c r="AP229" s="195"/>
      <c r="AQ229" s="195"/>
      <c r="AR229" s="195"/>
      <c r="AS229" s="195"/>
      <c r="AT229" s="195"/>
      <c r="AU229" s="195"/>
      <c r="AV229" s="195"/>
      <c r="AW229" s="195"/>
      <c r="AX229" s="224" t="s">
        <v>515</v>
      </c>
      <c r="AY229" s="225" t="s">
        <v>515</v>
      </c>
      <c r="AZ229" s="216" t="s">
        <v>849</v>
      </c>
      <c r="BA229" s="223" t="s">
        <v>855</v>
      </c>
    </row>
    <row r="230" spans="1:53" s="187" customFormat="1" ht="37.5">
      <c r="A230" s="188" t="s">
        <v>827</v>
      </c>
      <c r="B230" s="213">
        <v>9057</v>
      </c>
      <c r="C230" s="213">
        <v>9057</v>
      </c>
      <c r="D230" s="223" t="s">
        <v>1222</v>
      </c>
      <c r="E230" s="191" t="s">
        <v>15</v>
      </c>
      <c r="F230" s="191" t="s">
        <v>59</v>
      </c>
      <c r="G230" s="224"/>
      <c r="H230" s="193">
        <f t="shared" si="29"/>
        <v>19.199000000000002</v>
      </c>
      <c r="I230" s="194">
        <v>5.2600000000000001E-2</v>
      </c>
      <c r="J230" s="194">
        <f t="shared" si="30"/>
        <v>1.5780000000000001</v>
      </c>
      <c r="K230" s="194">
        <f t="shared" si="26"/>
        <v>11.972000000000001</v>
      </c>
      <c r="L230" s="194">
        <v>3.2800000000000003E-2</v>
      </c>
      <c r="M230" s="194">
        <f t="shared" si="27"/>
        <v>0.9840000000000001</v>
      </c>
      <c r="N230" s="194">
        <f t="shared" si="28"/>
        <v>-1.9799999999999998E-2</v>
      </c>
      <c r="O230" s="195"/>
      <c r="P230" s="195"/>
      <c r="Q230" s="195"/>
      <c r="R230" s="195"/>
      <c r="S230" s="195"/>
      <c r="T230" s="195"/>
      <c r="U230" s="195"/>
      <c r="V230" s="195"/>
      <c r="W230" s="195"/>
      <c r="X230" s="195"/>
      <c r="Y230" s="195"/>
      <c r="Z230" s="195"/>
      <c r="AA230" s="195"/>
      <c r="AB230" s="195"/>
      <c r="AC230" s="196"/>
      <c r="AD230" s="196"/>
      <c r="AE230" s="196"/>
      <c r="AF230" s="196"/>
      <c r="AG230" s="196"/>
      <c r="AH230" s="196"/>
      <c r="AI230" s="196"/>
      <c r="AJ230" s="195"/>
      <c r="AK230" s="195"/>
      <c r="AL230" s="195"/>
      <c r="AM230" s="195"/>
      <c r="AN230" s="195"/>
      <c r="AO230" s="195"/>
      <c r="AP230" s="195"/>
      <c r="AQ230" s="195"/>
      <c r="AR230" s="195"/>
      <c r="AS230" s="195"/>
      <c r="AT230" s="195"/>
      <c r="AU230" s="195"/>
      <c r="AV230" s="195"/>
      <c r="AW230" s="195"/>
      <c r="AX230" s="224">
        <v>20</v>
      </c>
      <c r="AY230" s="225">
        <v>20</v>
      </c>
      <c r="AZ230" s="216" t="s">
        <v>1223</v>
      </c>
      <c r="BA230" s="223" t="s">
        <v>878</v>
      </c>
    </row>
    <row r="231" spans="1:53" s="187" customFormat="1">
      <c r="A231" s="188" t="s">
        <v>827</v>
      </c>
      <c r="B231" s="189">
        <v>9086</v>
      </c>
      <c r="C231" s="189">
        <v>9086</v>
      </c>
      <c r="D231" s="188" t="s">
        <v>1224</v>
      </c>
      <c r="E231" s="191" t="s">
        <v>15</v>
      </c>
      <c r="F231" s="191" t="s">
        <v>59</v>
      </c>
      <c r="G231" s="191"/>
      <c r="H231" s="193">
        <v>11.571</v>
      </c>
      <c r="I231" s="194">
        <v>3.1699999999999999E-2</v>
      </c>
      <c r="J231" s="194">
        <v>0.95099999999999996</v>
      </c>
      <c r="K231" s="194">
        <v>11.571</v>
      </c>
      <c r="L231" s="194">
        <v>3.1699999999999999E-2</v>
      </c>
      <c r="M231" s="194">
        <v>0.95099999999999996</v>
      </c>
      <c r="N231" s="194">
        <v>0</v>
      </c>
      <c r="O231" s="195"/>
      <c r="P231" s="195"/>
      <c r="Q231" s="195"/>
      <c r="R231" s="195"/>
      <c r="S231" s="195"/>
      <c r="T231" s="195"/>
      <c r="U231" s="195"/>
      <c r="V231" s="195"/>
      <c r="W231" s="195"/>
      <c r="X231" s="195"/>
      <c r="Y231" s="195"/>
      <c r="Z231" s="195"/>
      <c r="AA231" s="195"/>
      <c r="AB231" s="195"/>
      <c r="AC231" s="196"/>
      <c r="AD231" s="196"/>
      <c r="AE231" s="196"/>
      <c r="AF231" s="196"/>
      <c r="AG231" s="196"/>
      <c r="AH231" s="196"/>
      <c r="AI231" s="196"/>
      <c r="AJ231" s="195"/>
      <c r="AK231" s="195"/>
      <c r="AL231" s="195"/>
      <c r="AM231" s="195"/>
      <c r="AN231" s="195"/>
      <c r="AO231" s="195"/>
      <c r="AP231" s="195"/>
      <c r="AQ231" s="195"/>
      <c r="AR231" s="195"/>
      <c r="AS231" s="195"/>
      <c r="AT231" s="195"/>
      <c r="AU231" s="195"/>
      <c r="AV231" s="195"/>
      <c r="AW231" s="195"/>
      <c r="AX231" s="191">
        <v>20</v>
      </c>
      <c r="AY231" s="215">
        <v>20</v>
      </c>
      <c r="AZ231" s="207" t="s">
        <v>765</v>
      </c>
      <c r="BA231" s="188" t="s">
        <v>878</v>
      </c>
    </row>
    <row r="232" spans="1:53" s="187" customFormat="1">
      <c r="A232" s="188" t="s">
        <v>827</v>
      </c>
      <c r="B232" s="238">
        <v>9111</v>
      </c>
      <c r="C232" s="238">
        <v>9111</v>
      </c>
      <c r="D232" s="188" t="s">
        <v>1225</v>
      </c>
      <c r="E232" s="191" t="s">
        <v>15</v>
      </c>
      <c r="F232" s="191" t="s">
        <v>59</v>
      </c>
      <c r="G232" s="212"/>
      <c r="H232" s="193">
        <f t="shared" ref="H232:H240" si="31">I232*365</f>
        <v>11.753</v>
      </c>
      <c r="I232" s="194">
        <v>3.2199999999999999E-2</v>
      </c>
      <c r="J232" s="194">
        <f t="shared" ref="J232:J275" si="32">I232*30</f>
        <v>0.96599999999999997</v>
      </c>
      <c r="K232" s="194">
        <f>L232*365</f>
        <v>11.753</v>
      </c>
      <c r="L232" s="194">
        <v>3.2199999999999999E-2</v>
      </c>
      <c r="M232" s="194">
        <f t="shared" ref="M232:M295" si="33">L232*30</f>
        <v>0.96599999999999997</v>
      </c>
      <c r="N232" s="194">
        <f t="shared" ref="N232:N295" si="34">L232-I232</f>
        <v>0</v>
      </c>
      <c r="O232" s="195"/>
      <c r="P232" s="195"/>
      <c r="Q232" s="195"/>
      <c r="R232" s="195"/>
      <c r="S232" s="195"/>
      <c r="T232" s="195"/>
      <c r="U232" s="195"/>
      <c r="V232" s="195"/>
      <c r="W232" s="195"/>
      <c r="X232" s="195"/>
      <c r="Y232" s="195"/>
      <c r="Z232" s="195"/>
      <c r="AA232" s="195"/>
      <c r="AB232" s="195"/>
      <c r="AC232" s="196"/>
      <c r="AD232" s="196"/>
      <c r="AE232" s="196"/>
      <c r="AF232" s="196"/>
      <c r="AG232" s="196"/>
      <c r="AH232" s="196"/>
      <c r="AI232" s="196"/>
      <c r="AJ232" s="195"/>
      <c r="AK232" s="195"/>
      <c r="AL232" s="195"/>
      <c r="AM232" s="195"/>
      <c r="AN232" s="195"/>
      <c r="AO232" s="195"/>
      <c r="AP232" s="195"/>
      <c r="AQ232" s="195"/>
      <c r="AR232" s="195"/>
      <c r="AS232" s="195"/>
      <c r="AT232" s="195"/>
      <c r="AU232" s="195"/>
      <c r="AV232" s="195"/>
      <c r="AW232" s="195"/>
      <c r="AX232" s="212">
        <v>20</v>
      </c>
      <c r="AY232" s="276">
        <v>20</v>
      </c>
      <c r="AZ232" s="252" t="s">
        <v>832</v>
      </c>
      <c r="BA232" s="253" t="s">
        <v>878</v>
      </c>
    </row>
    <row r="233" spans="1:53" s="187" customFormat="1">
      <c r="A233" s="188" t="s">
        <v>827</v>
      </c>
      <c r="B233" s="238">
        <v>9192</v>
      </c>
      <c r="C233" s="238">
        <v>9192</v>
      </c>
      <c r="D233" s="190" t="s">
        <v>1226</v>
      </c>
      <c r="E233" s="191" t="s">
        <v>15</v>
      </c>
      <c r="F233" s="191" t="s">
        <v>59</v>
      </c>
      <c r="G233" s="212"/>
      <c r="H233" s="193">
        <f t="shared" si="31"/>
        <v>58.983999999999995</v>
      </c>
      <c r="I233" s="194">
        <v>0.16159999999999999</v>
      </c>
      <c r="J233" s="194">
        <f t="shared" si="32"/>
        <v>4.8479999999999999</v>
      </c>
      <c r="K233" s="194">
        <f>L233*365</f>
        <v>180.1275</v>
      </c>
      <c r="L233" s="194">
        <v>0.49349999999999999</v>
      </c>
      <c r="M233" s="194">
        <f t="shared" si="33"/>
        <v>14.805</v>
      </c>
      <c r="N233" s="194">
        <f t="shared" si="34"/>
        <v>0.33189999999999997</v>
      </c>
      <c r="O233" s="195"/>
      <c r="P233" s="195"/>
      <c r="Q233" s="195"/>
      <c r="R233" s="195"/>
      <c r="S233" s="195"/>
      <c r="T233" s="195"/>
      <c r="U233" s="195"/>
      <c r="V233" s="195"/>
      <c r="W233" s="195"/>
      <c r="X233" s="195"/>
      <c r="Y233" s="195"/>
      <c r="Z233" s="195"/>
      <c r="AA233" s="195"/>
      <c r="AB233" s="195"/>
      <c r="AC233" s="196"/>
      <c r="AD233" s="196"/>
      <c r="AE233" s="196"/>
      <c r="AF233" s="196"/>
      <c r="AG233" s="196"/>
      <c r="AH233" s="196"/>
      <c r="AI233" s="196"/>
      <c r="AJ233" s="195"/>
      <c r="AK233" s="195"/>
      <c r="AL233" s="195"/>
      <c r="AM233" s="195"/>
      <c r="AN233" s="195"/>
      <c r="AO233" s="195"/>
      <c r="AP233" s="195"/>
      <c r="AQ233" s="195"/>
      <c r="AR233" s="195"/>
      <c r="AS233" s="195"/>
      <c r="AT233" s="195"/>
      <c r="AU233" s="195"/>
      <c r="AV233" s="195"/>
      <c r="AW233" s="195"/>
      <c r="AX233" s="212" t="s">
        <v>482</v>
      </c>
      <c r="AY233" s="267" t="s">
        <v>482</v>
      </c>
      <c r="AZ233" s="252" t="s">
        <v>1227</v>
      </c>
      <c r="BA233" s="253" t="s">
        <v>1228</v>
      </c>
    </row>
    <row r="234" spans="1:53" s="187" customFormat="1">
      <c r="A234" s="188" t="s">
        <v>827</v>
      </c>
      <c r="B234" s="189">
        <v>9192</v>
      </c>
      <c r="C234" s="189">
        <v>9192</v>
      </c>
      <c r="D234" s="188" t="s">
        <v>1229</v>
      </c>
      <c r="E234" s="191" t="s">
        <v>15</v>
      </c>
      <c r="F234" s="191" t="s">
        <v>59</v>
      </c>
      <c r="G234" s="191" t="s">
        <v>782</v>
      </c>
      <c r="H234" s="193">
        <f t="shared" si="31"/>
        <v>122.23849999999999</v>
      </c>
      <c r="I234" s="194">
        <v>0.33489999999999998</v>
      </c>
      <c r="J234" s="194">
        <f t="shared" si="32"/>
        <v>10.046999999999999</v>
      </c>
      <c r="K234" s="194">
        <f>L234*365</f>
        <v>128.334</v>
      </c>
      <c r="L234" s="194">
        <v>0.35160000000000002</v>
      </c>
      <c r="M234" s="194">
        <f t="shared" si="33"/>
        <v>10.548</v>
      </c>
      <c r="N234" s="194">
        <f t="shared" si="34"/>
        <v>1.6700000000000048E-2</v>
      </c>
      <c r="O234" s="195"/>
      <c r="P234" s="195"/>
      <c r="Q234" s="195"/>
      <c r="R234" s="195"/>
      <c r="S234" s="195"/>
      <c r="T234" s="195"/>
      <c r="U234" s="195"/>
      <c r="V234" s="195"/>
      <c r="W234" s="195"/>
      <c r="X234" s="195"/>
      <c r="Y234" s="195"/>
      <c r="Z234" s="195"/>
      <c r="AA234" s="195"/>
      <c r="AB234" s="195"/>
      <c r="AC234" s="196"/>
      <c r="AD234" s="196"/>
      <c r="AE234" s="196"/>
      <c r="AF234" s="196"/>
      <c r="AG234" s="196"/>
      <c r="AH234" s="196"/>
      <c r="AI234" s="196"/>
      <c r="AJ234" s="195"/>
      <c r="AK234" s="195"/>
      <c r="AL234" s="195"/>
      <c r="AM234" s="195"/>
      <c r="AN234" s="195"/>
      <c r="AO234" s="195"/>
      <c r="AP234" s="195"/>
      <c r="AQ234" s="195"/>
      <c r="AR234" s="195"/>
      <c r="AS234" s="195"/>
      <c r="AT234" s="195"/>
      <c r="AU234" s="195"/>
      <c r="AV234" s="195"/>
      <c r="AW234" s="195"/>
      <c r="AX234" s="215">
        <v>20</v>
      </c>
      <c r="AY234" s="215" t="s">
        <v>851</v>
      </c>
      <c r="AZ234" s="207" t="s">
        <v>1230</v>
      </c>
      <c r="BA234" s="229" t="s">
        <v>1231</v>
      </c>
    </row>
    <row r="235" spans="1:53" s="187" customFormat="1">
      <c r="A235" s="188" t="s">
        <v>827</v>
      </c>
      <c r="B235" s="189">
        <v>9447</v>
      </c>
      <c r="C235" s="189">
        <v>9447</v>
      </c>
      <c r="D235" s="188" t="s">
        <v>1232</v>
      </c>
      <c r="E235" s="191" t="s">
        <v>15</v>
      </c>
      <c r="F235" s="191" t="s">
        <v>59</v>
      </c>
      <c r="G235" s="191"/>
      <c r="H235" s="193">
        <f t="shared" si="31"/>
        <v>11.168999999999999</v>
      </c>
      <c r="I235" s="194">
        <v>3.0599999999999999E-2</v>
      </c>
      <c r="J235" s="194">
        <f t="shared" si="32"/>
        <v>0.91799999999999993</v>
      </c>
      <c r="K235" s="194">
        <v>1.4343999999999999</v>
      </c>
      <c r="L235" s="194">
        <v>3.9300000000000002E-2</v>
      </c>
      <c r="M235" s="194">
        <f t="shared" si="33"/>
        <v>1.179</v>
      </c>
      <c r="N235" s="194">
        <f t="shared" si="34"/>
        <v>8.7000000000000029E-3</v>
      </c>
      <c r="O235" s="195"/>
      <c r="P235" s="195"/>
      <c r="Q235" s="195"/>
      <c r="R235" s="195"/>
      <c r="S235" s="195"/>
      <c r="T235" s="195"/>
      <c r="U235" s="195"/>
      <c r="V235" s="195"/>
      <c r="W235" s="195"/>
      <c r="X235" s="195"/>
      <c r="Y235" s="195"/>
      <c r="Z235" s="195"/>
      <c r="AA235" s="195"/>
      <c r="AB235" s="195"/>
      <c r="AC235" s="196"/>
      <c r="AD235" s="196"/>
      <c r="AE235" s="196"/>
      <c r="AF235" s="196"/>
      <c r="AG235" s="196"/>
      <c r="AH235" s="196"/>
      <c r="AI235" s="196"/>
      <c r="AJ235" s="195"/>
      <c r="AK235" s="195"/>
      <c r="AL235" s="195"/>
      <c r="AM235" s="195"/>
      <c r="AN235" s="195"/>
      <c r="AO235" s="195"/>
      <c r="AP235" s="195"/>
      <c r="AQ235" s="195"/>
      <c r="AR235" s="195"/>
      <c r="AS235" s="195"/>
      <c r="AT235" s="195"/>
      <c r="AU235" s="195"/>
      <c r="AV235" s="195"/>
      <c r="AW235" s="195"/>
      <c r="AX235" s="191">
        <v>20</v>
      </c>
      <c r="AY235" s="215" t="s">
        <v>851</v>
      </c>
      <c r="AZ235" s="207" t="s">
        <v>1230</v>
      </c>
      <c r="BA235" s="229" t="s">
        <v>855</v>
      </c>
    </row>
    <row r="236" spans="1:53" s="187" customFormat="1">
      <c r="A236" s="188" t="s">
        <v>827</v>
      </c>
      <c r="B236" s="189">
        <v>9646</v>
      </c>
      <c r="C236" s="189">
        <v>9646</v>
      </c>
      <c r="D236" s="188" t="s">
        <v>1233</v>
      </c>
      <c r="E236" s="191" t="s">
        <v>875</v>
      </c>
      <c r="F236" s="191" t="s">
        <v>59</v>
      </c>
      <c r="G236" s="191"/>
      <c r="H236" s="193">
        <f t="shared" si="31"/>
        <v>14.454000000000001</v>
      </c>
      <c r="I236" s="194">
        <v>3.9600000000000003E-2</v>
      </c>
      <c r="J236" s="194">
        <f t="shared" si="32"/>
        <v>1.1880000000000002</v>
      </c>
      <c r="K236" s="194">
        <f>L236*365</f>
        <v>14.454000000000001</v>
      </c>
      <c r="L236" s="194">
        <v>3.9600000000000003E-2</v>
      </c>
      <c r="M236" s="194">
        <f t="shared" si="33"/>
        <v>1.1880000000000002</v>
      </c>
      <c r="N236" s="194">
        <f t="shared" si="34"/>
        <v>0</v>
      </c>
      <c r="O236" s="195"/>
      <c r="P236" s="195"/>
      <c r="Q236" s="195"/>
      <c r="R236" s="195"/>
      <c r="S236" s="195"/>
      <c r="T236" s="195"/>
      <c r="U236" s="195"/>
      <c r="V236" s="195"/>
      <c r="W236" s="195"/>
      <c r="X236" s="195"/>
      <c r="Y236" s="195"/>
      <c r="Z236" s="195"/>
      <c r="AA236" s="195"/>
      <c r="AB236" s="195"/>
      <c r="AC236" s="196"/>
      <c r="AD236" s="196"/>
      <c r="AE236" s="196"/>
      <c r="AF236" s="196"/>
      <c r="AG236" s="196"/>
      <c r="AH236" s="196"/>
      <c r="AI236" s="196"/>
      <c r="AJ236" s="195"/>
      <c r="AK236" s="195"/>
      <c r="AL236" s="195"/>
      <c r="AM236" s="195"/>
      <c r="AN236" s="195"/>
      <c r="AO236" s="195"/>
      <c r="AP236" s="195"/>
      <c r="AQ236" s="195"/>
      <c r="AR236" s="195"/>
      <c r="AS236" s="195"/>
      <c r="AT236" s="195"/>
      <c r="AU236" s="195"/>
      <c r="AV236" s="195"/>
      <c r="AW236" s="195"/>
      <c r="AX236" s="191" t="s">
        <v>482</v>
      </c>
      <c r="AY236" s="215" t="s">
        <v>482</v>
      </c>
      <c r="AZ236" s="207" t="s">
        <v>907</v>
      </c>
      <c r="BA236" s="229" t="s">
        <v>1234</v>
      </c>
    </row>
    <row r="237" spans="1:53" s="187" customFormat="1">
      <c r="A237" s="188" t="s">
        <v>827</v>
      </c>
      <c r="B237" s="189">
        <v>9928</v>
      </c>
      <c r="C237" s="189">
        <v>9928</v>
      </c>
      <c r="D237" s="190" t="s">
        <v>1235</v>
      </c>
      <c r="E237" s="191" t="s">
        <v>15</v>
      </c>
      <c r="F237" s="191" t="s">
        <v>59</v>
      </c>
      <c r="G237" s="191"/>
      <c r="H237" s="193">
        <f t="shared" si="31"/>
        <v>6.5699999999999994</v>
      </c>
      <c r="I237" s="199">
        <v>1.7999999999999999E-2</v>
      </c>
      <c r="J237" s="194">
        <f t="shared" si="32"/>
        <v>0.53999999999999992</v>
      </c>
      <c r="K237" s="194">
        <f>L237*365</f>
        <v>9.4169999999999998</v>
      </c>
      <c r="L237" s="199">
        <v>2.58E-2</v>
      </c>
      <c r="M237" s="194">
        <f t="shared" si="33"/>
        <v>0.77400000000000002</v>
      </c>
      <c r="N237" s="194">
        <f t="shared" si="34"/>
        <v>7.8000000000000014E-3</v>
      </c>
      <c r="O237" s="195"/>
      <c r="P237" s="195"/>
      <c r="Q237" s="195"/>
      <c r="R237" s="195"/>
      <c r="S237" s="195"/>
      <c r="T237" s="195"/>
      <c r="U237" s="195"/>
      <c r="V237" s="195"/>
      <c r="W237" s="195"/>
      <c r="X237" s="195"/>
      <c r="Y237" s="195"/>
      <c r="Z237" s="195"/>
      <c r="AA237" s="195"/>
      <c r="AB237" s="195"/>
      <c r="AC237" s="196"/>
      <c r="AD237" s="196"/>
      <c r="AE237" s="196"/>
      <c r="AF237" s="196"/>
      <c r="AG237" s="196"/>
      <c r="AH237" s="196"/>
      <c r="AI237" s="196"/>
      <c r="AJ237" s="195"/>
      <c r="AK237" s="195"/>
      <c r="AL237" s="195"/>
      <c r="AM237" s="195"/>
      <c r="AN237" s="195"/>
      <c r="AO237" s="195"/>
      <c r="AP237" s="195"/>
      <c r="AQ237" s="195"/>
      <c r="AR237" s="195"/>
      <c r="AS237" s="195"/>
      <c r="AT237" s="195"/>
      <c r="AU237" s="195"/>
      <c r="AV237" s="195"/>
      <c r="AW237" s="195"/>
      <c r="AX237" s="191" t="s">
        <v>482</v>
      </c>
      <c r="AY237" s="202" t="s">
        <v>482</v>
      </c>
      <c r="AZ237" s="207" t="s">
        <v>1236</v>
      </c>
      <c r="BA237" s="229" t="s">
        <v>830</v>
      </c>
    </row>
    <row r="238" spans="1:53" s="187" customFormat="1">
      <c r="A238" s="188" t="s">
        <v>827</v>
      </c>
      <c r="B238" s="189">
        <v>10011</v>
      </c>
      <c r="C238" s="189">
        <v>10011</v>
      </c>
      <c r="D238" s="188" t="s">
        <v>1237</v>
      </c>
      <c r="E238" s="191" t="s">
        <v>15</v>
      </c>
      <c r="F238" s="191" t="s">
        <v>60</v>
      </c>
      <c r="G238" s="191"/>
      <c r="H238" s="193">
        <f t="shared" si="31"/>
        <v>0.54749999999999999</v>
      </c>
      <c r="I238" s="194">
        <v>1.5E-3</v>
      </c>
      <c r="J238" s="194">
        <f t="shared" si="32"/>
        <v>4.4999999999999998E-2</v>
      </c>
      <c r="K238" s="194">
        <f>L238*365</f>
        <v>0.54749999999999999</v>
      </c>
      <c r="L238" s="194">
        <v>1.5E-3</v>
      </c>
      <c r="M238" s="194">
        <f t="shared" si="33"/>
        <v>4.4999999999999998E-2</v>
      </c>
      <c r="N238" s="194">
        <f t="shared" si="34"/>
        <v>0</v>
      </c>
      <c r="O238" s="195"/>
      <c r="P238" s="195"/>
      <c r="Q238" s="195"/>
      <c r="R238" s="195"/>
      <c r="S238" s="195"/>
      <c r="T238" s="195"/>
      <c r="U238" s="195"/>
      <c r="V238" s="195"/>
      <c r="W238" s="195"/>
      <c r="X238" s="195"/>
      <c r="Y238" s="195"/>
      <c r="Z238" s="195"/>
      <c r="AA238" s="195"/>
      <c r="AB238" s="195"/>
      <c r="AC238" s="196"/>
      <c r="AD238" s="196"/>
      <c r="AE238" s="196"/>
      <c r="AF238" s="196"/>
      <c r="AG238" s="196"/>
      <c r="AH238" s="196"/>
      <c r="AI238" s="196"/>
      <c r="AJ238" s="195"/>
      <c r="AK238" s="195"/>
      <c r="AL238" s="195"/>
      <c r="AM238" s="195"/>
      <c r="AN238" s="195"/>
      <c r="AO238" s="195"/>
      <c r="AP238" s="195"/>
      <c r="AQ238" s="195"/>
      <c r="AR238" s="195"/>
      <c r="AS238" s="195"/>
      <c r="AT238" s="195"/>
      <c r="AU238" s="195"/>
      <c r="AV238" s="195"/>
      <c r="AW238" s="195"/>
      <c r="AX238" s="191">
        <v>20</v>
      </c>
      <c r="AY238" s="215">
        <v>20</v>
      </c>
      <c r="AZ238" s="207" t="s">
        <v>765</v>
      </c>
      <c r="BA238" s="229" t="s">
        <v>1207</v>
      </c>
    </row>
    <row r="239" spans="1:53" s="187" customFormat="1">
      <c r="A239" s="188" t="s">
        <v>827</v>
      </c>
      <c r="B239" s="189">
        <v>10129</v>
      </c>
      <c r="C239" s="189">
        <v>10129</v>
      </c>
      <c r="D239" s="188" t="s">
        <v>1238</v>
      </c>
      <c r="E239" s="191" t="s">
        <v>15</v>
      </c>
      <c r="F239" s="191" t="s">
        <v>59</v>
      </c>
      <c r="G239" s="191"/>
      <c r="H239" s="193">
        <f t="shared" si="31"/>
        <v>6.2415000000000003</v>
      </c>
      <c r="I239" s="194">
        <v>1.7100000000000001E-2</v>
      </c>
      <c r="J239" s="194">
        <f t="shared" si="32"/>
        <v>0.51300000000000001</v>
      </c>
      <c r="K239" s="194">
        <f>L239*365</f>
        <v>4.3435000000000006</v>
      </c>
      <c r="L239" s="194">
        <v>1.1900000000000001E-2</v>
      </c>
      <c r="M239" s="194">
        <f t="shared" si="33"/>
        <v>0.35700000000000004</v>
      </c>
      <c r="N239" s="194">
        <f t="shared" si="34"/>
        <v>-5.1999999999999998E-3</v>
      </c>
      <c r="O239" s="195"/>
      <c r="P239" s="195"/>
      <c r="Q239" s="195"/>
      <c r="R239" s="195"/>
      <c r="S239" s="195"/>
      <c r="T239" s="195"/>
      <c r="U239" s="195"/>
      <c r="V239" s="195"/>
      <c r="W239" s="195"/>
      <c r="X239" s="195"/>
      <c r="Y239" s="195"/>
      <c r="Z239" s="195"/>
      <c r="AA239" s="195"/>
      <c r="AB239" s="195"/>
      <c r="AC239" s="196"/>
      <c r="AD239" s="196"/>
      <c r="AE239" s="196"/>
      <c r="AF239" s="196"/>
      <c r="AG239" s="196"/>
      <c r="AH239" s="196"/>
      <c r="AI239" s="196"/>
      <c r="AJ239" s="195"/>
      <c r="AK239" s="195"/>
      <c r="AL239" s="195"/>
      <c r="AM239" s="195"/>
      <c r="AN239" s="195"/>
      <c r="AO239" s="195"/>
      <c r="AP239" s="195"/>
      <c r="AQ239" s="195"/>
      <c r="AR239" s="195"/>
      <c r="AS239" s="195"/>
      <c r="AT239" s="195"/>
      <c r="AU239" s="195"/>
      <c r="AV239" s="195"/>
      <c r="AW239" s="195"/>
      <c r="AX239" s="226" t="s">
        <v>515</v>
      </c>
      <c r="AY239" s="226" t="s">
        <v>515</v>
      </c>
      <c r="AZ239" s="207" t="s">
        <v>849</v>
      </c>
      <c r="BA239" s="229" t="s">
        <v>878</v>
      </c>
    </row>
    <row r="240" spans="1:53" s="187" customFormat="1">
      <c r="A240" s="188" t="s">
        <v>827</v>
      </c>
      <c r="B240" s="189">
        <v>10156</v>
      </c>
      <c r="C240" s="189">
        <v>10156</v>
      </c>
      <c r="D240" s="188" t="s">
        <v>1239</v>
      </c>
      <c r="E240" s="191" t="s">
        <v>15</v>
      </c>
      <c r="F240" s="191" t="s">
        <v>1240</v>
      </c>
      <c r="G240" s="191"/>
      <c r="H240" s="193">
        <f t="shared" si="31"/>
        <v>0</v>
      </c>
      <c r="I240" s="194">
        <v>0</v>
      </c>
      <c r="J240" s="194">
        <f t="shared" si="32"/>
        <v>0</v>
      </c>
      <c r="K240" s="194">
        <f>L240*365</f>
        <v>4.6354999999999995</v>
      </c>
      <c r="L240" s="194">
        <v>1.2699999999999999E-2</v>
      </c>
      <c r="M240" s="194">
        <f t="shared" si="33"/>
        <v>0.38100000000000001</v>
      </c>
      <c r="N240" s="194">
        <f t="shared" si="34"/>
        <v>1.2699999999999999E-2</v>
      </c>
      <c r="O240" s="195"/>
      <c r="P240" s="195"/>
      <c r="Q240" s="195"/>
      <c r="R240" s="195"/>
      <c r="S240" s="195"/>
      <c r="T240" s="195"/>
      <c r="U240" s="195"/>
      <c r="V240" s="195"/>
      <c r="W240" s="195"/>
      <c r="X240" s="195"/>
      <c r="Y240" s="195"/>
      <c r="Z240" s="195"/>
      <c r="AA240" s="195"/>
      <c r="AB240" s="195"/>
      <c r="AC240" s="196"/>
      <c r="AD240" s="196"/>
      <c r="AE240" s="196"/>
      <c r="AF240" s="196"/>
      <c r="AG240" s="196"/>
      <c r="AH240" s="196"/>
      <c r="AI240" s="196"/>
      <c r="AJ240" s="195"/>
      <c r="AK240" s="195"/>
      <c r="AL240" s="195"/>
      <c r="AM240" s="195"/>
      <c r="AN240" s="195"/>
      <c r="AO240" s="195"/>
      <c r="AP240" s="195"/>
      <c r="AQ240" s="195"/>
      <c r="AR240" s="195"/>
      <c r="AS240" s="195"/>
      <c r="AT240" s="195"/>
      <c r="AU240" s="195"/>
      <c r="AV240" s="195"/>
      <c r="AW240" s="195"/>
      <c r="AX240" s="226">
        <v>20</v>
      </c>
      <c r="AY240" s="226" t="s">
        <v>851</v>
      </c>
      <c r="AZ240" s="207" t="s">
        <v>852</v>
      </c>
      <c r="BA240" s="229" t="s">
        <v>855</v>
      </c>
    </row>
    <row r="241" spans="1:53" s="187" customFormat="1">
      <c r="A241" s="188" t="s">
        <v>827</v>
      </c>
      <c r="B241" s="189">
        <v>10482</v>
      </c>
      <c r="C241" s="189">
        <v>10482</v>
      </c>
      <c r="D241" s="190" t="s">
        <v>1241</v>
      </c>
      <c r="E241" s="191" t="s">
        <v>1242</v>
      </c>
      <c r="F241" s="191" t="s">
        <v>60</v>
      </c>
      <c r="G241" s="191"/>
      <c r="H241" s="193">
        <v>9.6</v>
      </c>
      <c r="I241" s="199">
        <v>2.64E-2</v>
      </c>
      <c r="J241" s="194">
        <f t="shared" si="32"/>
        <v>0.79200000000000004</v>
      </c>
      <c r="K241" s="194">
        <v>2.64E-2</v>
      </c>
      <c r="L241" s="199">
        <v>2.64E-2</v>
      </c>
      <c r="M241" s="194">
        <f t="shared" si="33"/>
        <v>0.79200000000000004</v>
      </c>
      <c r="N241" s="194">
        <f t="shared" si="34"/>
        <v>0</v>
      </c>
      <c r="O241" s="195"/>
      <c r="P241" s="195"/>
      <c r="Q241" s="195"/>
      <c r="R241" s="195"/>
      <c r="S241" s="195"/>
      <c r="T241" s="195"/>
      <c r="U241" s="195"/>
      <c r="V241" s="195"/>
      <c r="W241" s="195"/>
      <c r="X241" s="195"/>
      <c r="Y241" s="195"/>
      <c r="Z241" s="195"/>
      <c r="AA241" s="195"/>
      <c r="AB241" s="195"/>
      <c r="AC241" s="196"/>
      <c r="AD241" s="196"/>
      <c r="AE241" s="196"/>
      <c r="AF241" s="196"/>
      <c r="AG241" s="196"/>
      <c r="AH241" s="196"/>
      <c r="AI241" s="196"/>
      <c r="AJ241" s="195"/>
      <c r="AK241" s="195"/>
      <c r="AL241" s="195"/>
      <c r="AM241" s="195"/>
      <c r="AN241" s="195"/>
      <c r="AO241" s="195"/>
      <c r="AP241" s="195"/>
      <c r="AQ241" s="195"/>
      <c r="AR241" s="195"/>
      <c r="AS241" s="195"/>
      <c r="AT241" s="195"/>
      <c r="AU241" s="195"/>
      <c r="AV241" s="195"/>
      <c r="AW241" s="195"/>
      <c r="AX241" s="191">
        <v>10</v>
      </c>
      <c r="AY241" s="221" t="s">
        <v>851</v>
      </c>
      <c r="AZ241" s="207" t="s">
        <v>1075</v>
      </c>
      <c r="BA241" s="229" t="s">
        <v>830</v>
      </c>
    </row>
    <row r="242" spans="1:53" s="187" customFormat="1">
      <c r="A242" s="188" t="s">
        <v>827</v>
      </c>
      <c r="B242" s="189">
        <v>10656</v>
      </c>
      <c r="C242" s="189">
        <v>10656</v>
      </c>
      <c r="D242" s="188" t="s">
        <v>1243</v>
      </c>
      <c r="E242" s="191" t="s">
        <v>15</v>
      </c>
      <c r="F242" s="191" t="s">
        <v>58</v>
      </c>
      <c r="G242" s="191"/>
      <c r="H242" s="193">
        <f t="shared" ref="H242:H278" si="35">I242*365</f>
        <v>59.385500000000008</v>
      </c>
      <c r="I242" s="194">
        <v>0.16270000000000001</v>
      </c>
      <c r="J242" s="194">
        <f t="shared" si="32"/>
        <v>4.8810000000000002</v>
      </c>
      <c r="K242" s="194">
        <f t="shared" ref="K242:K278" si="36">L242*365</f>
        <v>59.385500000000008</v>
      </c>
      <c r="L242" s="194">
        <v>0.16270000000000001</v>
      </c>
      <c r="M242" s="194">
        <f t="shared" si="33"/>
        <v>4.8810000000000002</v>
      </c>
      <c r="N242" s="194">
        <f t="shared" si="34"/>
        <v>0</v>
      </c>
      <c r="O242" s="195"/>
      <c r="P242" s="195"/>
      <c r="Q242" s="195"/>
      <c r="R242" s="195"/>
      <c r="S242" s="195"/>
      <c r="T242" s="195"/>
      <c r="U242" s="195"/>
      <c r="V242" s="195"/>
      <c r="W242" s="195"/>
      <c r="X242" s="195"/>
      <c r="Y242" s="195"/>
      <c r="Z242" s="195"/>
      <c r="AA242" s="195"/>
      <c r="AB242" s="195"/>
      <c r="AC242" s="196"/>
      <c r="AD242" s="196"/>
      <c r="AE242" s="196"/>
      <c r="AF242" s="196"/>
      <c r="AG242" s="196"/>
      <c r="AH242" s="196"/>
      <c r="AI242" s="196"/>
      <c r="AJ242" s="195"/>
      <c r="AK242" s="195"/>
      <c r="AL242" s="195"/>
      <c r="AM242" s="195"/>
      <c r="AN242" s="195"/>
      <c r="AO242" s="195"/>
      <c r="AP242" s="195"/>
      <c r="AQ242" s="195"/>
      <c r="AR242" s="195"/>
      <c r="AS242" s="195"/>
      <c r="AT242" s="195"/>
      <c r="AU242" s="195"/>
      <c r="AV242" s="195"/>
      <c r="AW242" s="195"/>
      <c r="AX242" s="191" t="s">
        <v>515</v>
      </c>
      <c r="AY242" s="225" t="s">
        <v>515</v>
      </c>
      <c r="AZ242" s="207" t="s">
        <v>907</v>
      </c>
      <c r="BA242" s="229" t="s">
        <v>1244</v>
      </c>
    </row>
    <row r="243" spans="1:53" s="187" customFormat="1" ht="37.5">
      <c r="A243" s="188" t="s">
        <v>827</v>
      </c>
      <c r="B243" s="189">
        <v>10803</v>
      </c>
      <c r="C243" s="189">
        <v>10803</v>
      </c>
      <c r="D243" s="188" t="s">
        <v>1245</v>
      </c>
      <c r="E243" s="191" t="s">
        <v>15</v>
      </c>
      <c r="F243" s="191" t="s">
        <v>59</v>
      </c>
      <c r="G243" s="191"/>
      <c r="H243" s="193">
        <f t="shared" si="35"/>
        <v>4.8179999999999996</v>
      </c>
      <c r="I243" s="194">
        <v>1.32E-2</v>
      </c>
      <c r="J243" s="194">
        <f t="shared" si="32"/>
        <v>0.39600000000000002</v>
      </c>
      <c r="K243" s="194">
        <f t="shared" si="36"/>
        <v>4.8179999999999996</v>
      </c>
      <c r="L243" s="194">
        <v>1.32E-2</v>
      </c>
      <c r="M243" s="194">
        <f t="shared" si="33"/>
        <v>0.39600000000000002</v>
      </c>
      <c r="N243" s="194">
        <f t="shared" si="34"/>
        <v>0</v>
      </c>
      <c r="O243" s="195"/>
      <c r="P243" s="195"/>
      <c r="Q243" s="195"/>
      <c r="R243" s="195"/>
      <c r="S243" s="195"/>
      <c r="T243" s="195"/>
      <c r="U243" s="195"/>
      <c r="V243" s="195"/>
      <c r="W243" s="195"/>
      <c r="X243" s="195"/>
      <c r="Y243" s="195"/>
      <c r="Z243" s="195"/>
      <c r="AA243" s="195"/>
      <c r="AB243" s="195"/>
      <c r="AC243" s="196"/>
      <c r="AD243" s="196"/>
      <c r="AE243" s="196"/>
      <c r="AF243" s="196"/>
      <c r="AG243" s="196"/>
      <c r="AH243" s="196"/>
      <c r="AI243" s="196"/>
      <c r="AJ243" s="195"/>
      <c r="AK243" s="195"/>
      <c r="AL243" s="195"/>
      <c r="AM243" s="195"/>
      <c r="AN243" s="195"/>
      <c r="AO243" s="195"/>
      <c r="AP243" s="195"/>
      <c r="AQ243" s="195"/>
      <c r="AR243" s="195"/>
      <c r="AS243" s="195"/>
      <c r="AT243" s="195"/>
      <c r="AU243" s="195"/>
      <c r="AV243" s="195"/>
      <c r="AW243" s="195"/>
      <c r="AX243" s="226">
        <v>20</v>
      </c>
      <c r="AY243" s="241">
        <v>20</v>
      </c>
      <c r="AZ243" s="207" t="s">
        <v>1246</v>
      </c>
      <c r="BA243" s="188" t="s">
        <v>878</v>
      </c>
    </row>
    <row r="244" spans="1:53" s="187" customFormat="1">
      <c r="A244" s="188" t="s">
        <v>827</v>
      </c>
      <c r="B244" s="219">
        <v>10804</v>
      </c>
      <c r="C244" s="219">
        <v>10804</v>
      </c>
      <c r="D244" s="227" t="s">
        <v>1247</v>
      </c>
      <c r="E244" s="191" t="s">
        <v>15</v>
      </c>
      <c r="F244" s="191" t="s">
        <v>59</v>
      </c>
      <c r="G244" s="191"/>
      <c r="H244" s="193">
        <f t="shared" si="35"/>
        <v>3.1755</v>
      </c>
      <c r="I244" s="194">
        <v>8.6999999999999994E-3</v>
      </c>
      <c r="J244" s="194">
        <f t="shared" si="32"/>
        <v>0.26100000000000001</v>
      </c>
      <c r="K244" s="194">
        <f t="shared" si="36"/>
        <v>3.1755</v>
      </c>
      <c r="L244" s="194">
        <v>8.6999999999999994E-3</v>
      </c>
      <c r="M244" s="194">
        <f t="shared" si="33"/>
        <v>0.26100000000000001</v>
      </c>
      <c r="N244" s="194">
        <f t="shared" si="34"/>
        <v>0</v>
      </c>
      <c r="O244" s="195"/>
      <c r="P244" s="195"/>
      <c r="Q244" s="195"/>
      <c r="R244" s="195"/>
      <c r="S244" s="195"/>
      <c r="T244" s="195"/>
      <c r="U244" s="195"/>
      <c r="V244" s="195"/>
      <c r="W244" s="195"/>
      <c r="X244" s="195"/>
      <c r="Y244" s="195"/>
      <c r="Z244" s="195"/>
      <c r="AA244" s="195"/>
      <c r="AB244" s="195"/>
      <c r="AC244" s="196"/>
      <c r="AD244" s="196"/>
      <c r="AE244" s="196"/>
      <c r="AF244" s="196"/>
      <c r="AG244" s="196"/>
      <c r="AH244" s="196"/>
      <c r="AI244" s="196"/>
      <c r="AJ244" s="195"/>
      <c r="AK244" s="195"/>
      <c r="AL244" s="195"/>
      <c r="AM244" s="195"/>
      <c r="AN244" s="195"/>
      <c r="AO244" s="195"/>
      <c r="AP244" s="195"/>
      <c r="AQ244" s="195"/>
      <c r="AR244" s="195"/>
      <c r="AS244" s="195"/>
      <c r="AT244" s="195"/>
      <c r="AU244" s="195"/>
      <c r="AV244" s="195"/>
      <c r="AW244" s="195"/>
      <c r="AX244" s="191">
        <v>20</v>
      </c>
      <c r="AY244" s="225" t="s">
        <v>851</v>
      </c>
      <c r="AZ244" s="207" t="s">
        <v>1248</v>
      </c>
      <c r="BA244" s="188" t="s">
        <v>1249</v>
      </c>
    </row>
    <row r="245" spans="1:53" s="187" customFormat="1">
      <c r="A245" s="188" t="s">
        <v>827</v>
      </c>
      <c r="B245" s="219">
        <v>10858</v>
      </c>
      <c r="C245" s="219">
        <v>10858</v>
      </c>
      <c r="D245" s="227" t="s">
        <v>1250</v>
      </c>
      <c r="E245" s="191" t="s">
        <v>15</v>
      </c>
      <c r="F245" s="191" t="s">
        <v>59</v>
      </c>
      <c r="G245" s="224"/>
      <c r="H245" s="193">
        <f t="shared" si="35"/>
        <v>4.4165000000000001</v>
      </c>
      <c r="I245" s="194">
        <v>1.21E-2</v>
      </c>
      <c r="J245" s="194">
        <f t="shared" si="32"/>
        <v>0.36299999999999999</v>
      </c>
      <c r="K245" s="194">
        <f t="shared" si="36"/>
        <v>4.1610000000000005</v>
      </c>
      <c r="L245" s="194">
        <v>1.14E-2</v>
      </c>
      <c r="M245" s="194">
        <f t="shared" si="33"/>
        <v>0.34200000000000003</v>
      </c>
      <c r="N245" s="194">
        <f t="shared" si="34"/>
        <v>-6.9999999999999923E-4</v>
      </c>
      <c r="O245" s="195"/>
      <c r="P245" s="195"/>
      <c r="Q245" s="195"/>
      <c r="R245" s="195"/>
      <c r="S245" s="195"/>
      <c r="T245" s="195"/>
      <c r="U245" s="195"/>
      <c r="V245" s="195"/>
      <c r="W245" s="195"/>
      <c r="X245" s="195"/>
      <c r="Y245" s="195"/>
      <c r="Z245" s="195"/>
      <c r="AA245" s="195"/>
      <c r="AB245" s="195"/>
      <c r="AC245" s="196"/>
      <c r="AD245" s="196"/>
      <c r="AE245" s="196"/>
      <c r="AF245" s="196"/>
      <c r="AG245" s="196"/>
      <c r="AH245" s="196"/>
      <c r="AI245" s="196"/>
      <c r="AJ245" s="195"/>
      <c r="AK245" s="195"/>
      <c r="AL245" s="195"/>
      <c r="AM245" s="195"/>
      <c r="AN245" s="195"/>
      <c r="AO245" s="195"/>
      <c r="AP245" s="195"/>
      <c r="AQ245" s="195"/>
      <c r="AR245" s="195"/>
      <c r="AS245" s="195"/>
      <c r="AT245" s="195"/>
      <c r="AU245" s="195"/>
      <c r="AV245" s="195"/>
      <c r="AW245" s="195"/>
      <c r="AX245" s="191">
        <v>20</v>
      </c>
      <c r="AY245" s="225">
        <v>20</v>
      </c>
      <c r="AZ245" s="207" t="s">
        <v>1251</v>
      </c>
      <c r="BA245" s="229" t="s">
        <v>1252</v>
      </c>
    </row>
    <row r="246" spans="1:53" s="187" customFormat="1">
      <c r="A246" s="188" t="s">
        <v>827</v>
      </c>
      <c r="B246" s="257">
        <v>10865</v>
      </c>
      <c r="C246" s="257">
        <v>10865</v>
      </c>
      <c r="D246" s="288" t="s">
        <v>1253</v>
      </c>
      <c r="E246" s="191" t="s">
        <v>15</v>
      </c>
      <c r="F246" s="191" t="s">
        <v>58</v>
      </c>
      <c r="G246" s="212"/>
      <c r="H246" s="193">
        <f t="shared" si="35"/>
        <v>1.5329999999999999</v>
      </c>
      <c r="I246" s="194">
        <v>4.1999999999999997E-3</v>
      </c>
      <c r="J246" s="194">
        <f t="shared" si="32"/>
        <v>0.126</v>
      </c>
      <c r="K246" s="194">
        <f t="shared" si="36"/>
        <v>1.5329999999999999</v>
      </c>
      <c r="L246" s="194">
        <v>4.1999999999999997E-3</v>
      </c>
      <c r="M246" s="194">
        <f t="shared" si="33"/>
        <v>0.126</v>
      </c>
      <c r="N246" s="194">
        <f t="shared" si="34"/>
        <v>0</v>
      </c>
      <c r="O246" s="195"/>
      <c r="P246" s="195"/>
      <c r="Q246" s="195"/>
      <c r="R246" s="195"/>
      <c r="S246" s="195"/>
      <c r="T246" s="195"/>
      <c r="U246" s="195"/>
      <c r="V246" s="195"/>
      <c r="W246" s="195"/>
      <c r="X246" s="195"/>
      <c r="Y246" s="195"/>
      <c r="Z246" s="195"/>
      <c r="AA246" s="195"/>
      <c r="AB246" s="195"/>
      <c r="AC246" s="196"/>
      <c r="AD246" s="196"/>
      <c r="AE246" s="196"/>
      <c r="AF246" s="196"/>
      <c r="AG246" s="196"/>
      <c r="AH246" s="196"/>
      <c r="AI246" s="196"/>
      <c r="AJ246" s="195"/>
      <c r="AK246" s="195"/>
      <c r="AL246" s="195"/>
      <c r="AM246" s="195"/>
      <c r="AN246" s="195"/>
      <c r="AO246" s="195"/>
      <c r="AP246" s="195"/>
      <c r="AQ246" s="195"/>
      <c r="AR246" s="195"/>
      <c r="AS246" s="195"/>
      <c r="AT246" s="195"/>
      <c r="AU246" s="195"/>
      <c r="AV246" s="195"/>
      <c r="AW246" s="195"/>
      <c r="AX246" s="191">
        <v>10</v>
      </c>
      <c r="AY246" s="215">
        <v>10</v>
      </c>
      <c r="AZ246" s="207" t="s">
        <v>765</v>
      </c>
      <c r="BA246" s="188" t="s">
        <v>868</v>
      </c>
    </row>
    <row r="247" spans="1:53" s="187" customFormat="1" ht="37.5">
      <c r="A247" s="188" t="s">
        <v>827</v>
      </c>
      <c r="B247" s="257">
        <v>10955</v>
      </c>
      <c r="C247" s="257">
        <v>10955</v>
      </c>
      <c r="D247" s="288" t="s">
        <v>1254</v>
      </c>
      <c r="E247" s="191" t="s">
        <v>15</v>
      </c>
      <c r="F247" s="191" t="s">
        <v>59</v>
      </c>
      <c r="G247" s="212"/>
      <c r="H247" s="193">
        <f t="shared" si="35"/>
        <v>6.0590000000000002</v>
      </c>
      <c r="I247" s="194">
        <v>1.66E-2</v>
      </c>
      <c r="J247" s="194">
        <f t="shared" si="32"/>
        <v>0.498</v>
      </c>
      <c r="K247" s="194">
        <f t="shared" si="36"/>
        <v>6.0590000000000002</v>
      </c>
      <c r="L247" s="194">
        <v>1.66E-2</v>
      </c>
      <c r="M247" s="194">
        <f t="shared" si="33"/>
        <v>0.498</v>
      </c>
      <c r="N247" s="194">
        <f t="shared" si="34"/>
        <v>0</v>
      </c>
      <c r="O247" s="195"/>
      <c r="P247" s="195"/>
      <c r="Q247" s="195"/>
      <c r="R247" s="195"/>
      <c r="S247" s="195"/>
      <c r="T247" s="195"/>
      <c r="U247" s="195"/>
      <c r="V247" s="195"/>
      <c r="W247" s="195"/>
      <c r="X247" s="195"/>
      <c r="Y247" s="195"/>
      <c r="Z247" s="195"/>
      <c r="AA247" s="195"/>
      <c r="AB247" s="195"/>
      <c r="AC247" s="196"/>
      <c r="AD247" s="196"/>
      <c r="AE247" s="196"/>
      <c r="AF247" s="196"/>
      <c r="AG247" s="196"/>
      <c r="AH247" s="196"/>
      <c r="AI247" s="196"/>
      <c r="AJ247" s="195"/>
      <c r="AK247" s="195"/>
      <c r="AL247" s="195"/>
      <c r="AM247" s="195"/>
      <c r="AN247" s="195"/>
      <c r="AO247" s="195"/>
      <c r="AP247" s="195"/>
      <c r="AQ247" s="195"/>
      <c r="AR247" s="195"/>
      <c r="AS247" s="195"/>
      <c r="AT247" s="195"/>
      <c r="AU247" s="195"/>
      <c r="AV247" s="195"/>
      <c r="AW247" s="195"/>
      <c r="AX247" s="191">
        <v>20</v>
      </c>
      <c r="AY247" s="215">
        <v>20</v>
      </c>
      <c r="AZ247" s="207" t="s">
        <v>1255</v>
      </c>
      <c r="BA247" s="188" t="s">
        <v>1217</v>
      </c>
    </row>
    <row r="248" spans="1:53" s="187" customFormat="1" ht="37.5">
      <c r="A248" s="188" t="s">
        <v>827</v>
      </c>
      <c r="B248" s="257">
        <v>10974</v>
      </c>
      <c r="C248" s="257">
        <v>10974</v>
      </c>
      <c r="D248" s="288" t="s">
        <v>1256</v>
      </c>
      <c r="E248" s="191" t="s">
        <v>15</v>
      </c>
      <c r="F248" s="191" t="s">
        <v>59</v>
      </c>
      <c r="G248" s="212"/>
      <c r="H248" s="193">
        <f t="shared" si="35"/>
        <v>24.747</v>
      </c>
      <c r="I248" s="194">
        <v>6.7799999999999999E-2</v>
      </c>
      <c r="J248" s="194">
        <f t="shared" si="32"/>
        <v>2.0339999999999998</v>
      </c>
      <c r="K248" s="194">
        <f t="shared" si="36"/>
        <v>24.747</v>
      </c>
      <c r="L248" s="194">
        <v>6.7799999999999999E-2</v>
      </c>
      <c r="M248" s="194">
        <f t="shared" si="33"/>
        <v>2.0339999999999998</v>
      </c>
      <c r="N248" s="194">
        <f t="shared" si="34"/>
        <v>0</v>
      </c>
      <c r="O248" s="195"/>
      <c r="P248" s="195"/>
      <c r="Q248" s="195"/>
      <c r="R248" s="195"/>
      <c r="S248" s="195"/>
      <c r="T248" s="195"/>
      <c r="U248" s="195"/>
      <c r="V248" s="195"/>
      <c r="W248" s="195"/>
      <c r="X248" s="195"/>
      <c r="Y248" s="195"/>
      <c r="Z248" s="195"/>
      <c r="AA248" s="195"/>
      <c r="AB248" s="195"/>
      <c r="AC248" s="196"/>
      <c r="AD248" s="196"/>
      <c r="AE248" s="196"/>
      <c r="AF248" s="196"/>
      <c r="AG248" s="196"/>
      <c r="AH248" s="196"/>
      <c r="AI248" s="196"/>
      <c r="AJ248" s="195"/>
      <c r="AK248" s="195"/>
      <c r="AL248" s="195"/>
      <c r="AM248" s="195"/>
      <c r="AN248" s="195"/>
      <c r="AO248" s="195"/>
      <c r="AP248" s="195"/>
      <c r="AQ248" s="195"/>
      <c r="AR248" s="195"/>
      <c r="AS248" s="195"/>
      <c r="AT248" s="195"/>
      <c r="AU248" s="195"/>
      <c r="AV248" s="195"/>
      <c r="AW248" s="195"/>
      <c r="AX248" s="191">
        <v>20</v>
      </c>
      <c r="AY248" s="215">
        <v>20</v>
      </c>
      <c r="AZ248" s="207" t="s">
        <v>1257</v>
      </c>
      <c r="BA248" s="188" t="s">
        <v>868</v>
      </c>
    </row>
    <row r="249" spans="1:53" s="187" customFormat="1">
      <c r="A249" s="188" t="s">
        <v>827</v>
      </c>
      <c r="B249" s="257">
        <v>10976</v>
      </c>
      <c r="C249" s="257">
        <v>10976</v>
      </c>
      <c r="D249" s="288" t="s">
        <v>1258</v>
      </c>
      <c r="E249" s="191" t="s">
        <v>15</v>
      </c>
      <c r="F249" s="191" t="s">
        <v>59</v>
      </c>
      <c r="G249" s="212"/>
      <c r="H249" s="193">
        <f t="shared" si="35"/>
        <v>25.221499999999999</v>
      </c>
      <c r="I249" s="194">
        <v>6.9099999999999995E-2</v>
      </c>
      <c r="J249" s="194">
        <f t="shared" si="32"/>
        <v>2.073</v>
      </c>
      <c r="K249" s="194">
        <f t="shared" si="36"/>
        <v>25.221499999999999</v>
      </c>
      <c r="L249" s="194">
        <v>6.9099999999999995E-2</v>
      </c>
      <c r="M249" s="194">
        <f t="shared" si="33"/>
        <v>2.073</v>
      </c>
      <c r="N249" s="194">
        <f t="shared" si="34"/>
        <v>0</v>
      </c>
      <c r="O249" s="195"/>
      <c r="P249" s="195"/>
      <c r="Q249" s="195"/>
      <c r="R249" s="195"/>
      <c r="S249" s="195"/>
      <c r="T249" s="195"/>
      <c r="U249" s="195"/>
      <c r="V249" s="195"/>
      <c r="W249" s="195"/>
      <c r="X249" s="195"/>
      <c r="Y249" s="195"/>
      <c r="Z249" s="195"/>
      <c r="AA249" s="195"/>
      <c r="AB249" s="195"/>
      <c r="AC249" s="196"/>
      <c r="AD249" s="196"/>
      <c r="AE249" s="196"/>
      <c r="AF249" s="196"/>
      <c r="AG249" s="196"/>
      <c r="AH249" s="196"/>
      <c r="AI249" s="196"/>
      <c r="AJ249" s="195"/>
      <c r="AK249" s="195"/>
      <c r="AL249" s="195"/>
      <c r="AM249" s="195"/>
      <c r="AN249" s="195"/>
      <c r="AO249" s="195"/>
      <c r="AP249" s="195"/>
      <c r="AQ249" s="195"/>
      <c r="AR249" s="195"/>
      <c r="AS249" s="195"/>
      <c r="AT249" s="195"/>
      <c r="AU249" s="195"/>
      <c r="AV249" s="195"/>
      <c r="AW249" s="195"/>
      <c r="AX249" s="191">
        <v>20</v>
      </c>
      <c r="AY249" s="215">
        <v>20</v>
      </c>
      <c r="AZ249" s="207" t="s">
        <v>1112</v>
      </c>
      <c r="BA249" s="188" t="s">
        <v>855</v>
      </c>
    </row>
    <row r="250" spans="1:53" s="187" customFormat="1">
      <c r="A250" s="188" t="s">
        <v>827</v>
      </c>
      <c r="B250" s="257">
        <v>10991</v>
      </c>
      <c r="C250" s="257">
        <v>10991</v>
      </c>
      <c r="D250" s="211" t="s">
        <v>1259</v>
      </c>
      <c r="E250" s="191" t="s">
        <v>865</v>
      </c>
      <c r="F250" s="191" t="s">
        <v>59</v>
      </c>
      <c r="G250" s="191" t="s">
        <v>782</v>
      </c>
      <c r="H250" s="193">
        <f t="shared" si="35"/>
        <v>12.884499999999999</v>
      </c>
      <c r="I250" s="199">
        <v>3.5299999999999998E-2</v>
      </c>
      <c r="J250" s="194">
        <f t="shared" si="32"/>
        <v>1.0589999999999999</v>
      </c>
      <c r="K250" s="194">
        <f t="shared" si="36"/>
        <v>12.884499999999999</v>
      </c>
      <c r="L250" s="199">
        <v>3.5299999999999998E-2</v>
      </c>
      <c r="M250" s="194">
        <f t="shared" si="33"/>
        <v>1.0589999999999999</v>
      </c>
      <c r="N250" s="194">
        <f t="shared" si="34"/>
        <v>0</v>
      </c>
      <c r="O250" s="195"/>
      <c r="P250" s="195"/>
      <c r="Q250" s="195"/>
      <c r="R250" s="195"/>
      <c r="S250" s="195"/>
      <c r="T250" s="195"/>
      <c r="U250" s="195"/>
      <c r="V250" s="195"/>
      <c r="W250" s="195"/>
      <c r="X250" s="195"/>
      <c r="Y250" s="195"/>
      <c r="Z250" s="195"/>
      <c r="AA250" s="195"/>
      <c r="AB250" s="195"/>
      <c r="AC250" s="196"/>
      <c r="AD250" s="196"/>
      <c r="AE250" s="196"/>
      <c r="AF250" s="196"/>
      <c r="AG250" s="196"/>
      <c r="AH250" s="196"/>
      <c r="AI250" s="196"/>
      <c r="AJ250" s="195"/>
      <c r="AK250" s="195"/>
      <c r="AL250" s="195"/>
      <c r="AM250" s="195"/>
      <c r="AN250" s="195"/>
      <c r="AO250" s="195"/>
      <c r="AP250" s="195"/>
      <c r="AQ250" s="195"/>
      <c r="AR250" s="195"/>
      <c r="AS250" s="195"/>
      <c r="AT250" s="195"/>
      <c r="AU250" s="195"/>
      <c r="AV250" s="195"/>
      <c r="AW250" s="195"/>
      <c r="AX250" s="191">
        <v>10</v>
      </c>
      <c r="AY250" s="215" t="s">
        <v>515</v>
      </c>
      <c r="AZ250" s="227" t="s">
        <v>1260</v>
      </c>
      <c r="BA250" s="190" t="s">
        <v>830</v>
      </c>
    </row>
    <row r="251" spans="1:53" s="187" customFormat="1">
      <c r="A251" s="188" t="s">
        <v>827</v>
      </c>
      <c r="B251" s="257">
        <v>11022</v>
      </c>
      <c r="C251" s="257">
        <v>11022</v>
      </c>
      <c r="D251" s="288" t="s">
        <v>1261</v>
      </c>
      <c r="E251" s="191" t="s">
        <v>15</v>
      </c>
      <c r="F251" s="191" t="s">
        <v>59</v>
      </c>
      <c r="G251" s="212"/>
      <c r="H251" s="193">
        <f t="shared" si="35"/>
        <v>15.694999999999999</v>
      </c>
      <c r="I251" s="194">
        <v>4.2999999999999997E-2</v>
      </c>
      <c r="J251" s="194">
        <f t="shared" si="32"/>
        <v>1.2899999999999998</v>
      </c>
      <c r="K251" s="194">
        <f t="shared" si="36"/>
        <v>15.694999999999999</v>
      </c>
      <c r="L251" s="194">
        <v>4.2999999999999997E-2</v>
      </c>
      <c r="M251" s="194">
        <f t="shared" si="33"/>
        <v>1.2899999999999998</v>
      </c>
      <c r="N251" s="194">
        <f t="shared" si="34"/>
        <v>0</v>
      </c>
      <c r="O251" s="195"/>
      <c r="P251" s="195"/>
      <c r="Q251" s="195"/>
      <c r="R251" s="195"/>
      <c r="S251" s="195"/>
      <c r="T251" s="195"/>
      <c r="U251" s="195"/>
      <c r="V251" s="195"/>
      <c r="W251" s="195"/>
      <c r="X251" s="195"/>
      <c r="Y251" s="195"/>
      <c r="Z251" s="195"/>
      <c r="AA251" s="195"/>
      <c r="AB251" s="195"/>
      <c r="AC251" s="196"/>
      <c r="AD251" s="196"/>
      <c r="AE251" s="196"/>
      <c r="AF251" s="196"/>
      <c r="AG251" s="196"/>
      <c r="AH251" s="196"/>
      <c r="AI251" s="196"/>
      <c r="AJ251" s="195"/>
      <c r="AK251" s="195"/>
      <c r="AL251" s="195"/>
      <c r="AM251" s="195"/>
      <c r="AN251" s="195"/>
      <c r="AO251" s="195"/>
      <c r="AP251" s="195"/>
      <c r="AQ251" s="195"/>
      <c r="AR251" s="195"/>
      <c r="AS251" s="195"/>
      <c r="AT251" s="195"/>
      <c r="AU251" s="195"/>
      <c r="AV251" s="195"/>
      <c r="AW251" s="195"/>
      <c r="AX251" s="191">
        <v>20</v>
      </c>
      <c r="AY251" s="215">
        <v>20</v>
      </c>
      <c r="AZ251" s="207" t="s">
        <v>765</v>
      </c>
      <c r="BA251" s="188" t="s">
        <v>878</v>
      </c>
    </row>
    <row r="252" spans="1:53" s="187" customFormat="1">
      <c r="A252" s="188" t="s">
        <v>827</v>
      </c>
      <c r="B252" s="257">
        <v>11031</v>
      </c>
      <c r="C252" s="257">
        <v>11031</v>
      </c>
      <c r="D252" s="288" t="s">
        <v>1262</v>
      </c>
      <c r="E252" s="191" t="s">
        <v>15</v>
      </c>
      <c r="F252" s="191" t="s">
        <v>59</v>
      </c>
      <c r="G252" s="212"/>
      <c r="H252" s="193">
        <f t="shared" si="35"/>
        <v>45.771000000000001</v>
      </c>
      <c r="I252" s="194">
        <v>0.12540000000000001</v>
      </c>
      <c r="J252" s="194">
        <f t="shared" si="32"/>
        <v>3.7620000000000005</v>
      </c>
      <c r="K252" s="194">
        <f t="shared" si="36"/>
        <v>45.771000000000001</v>
      </c>
      <c r="L252" s="194">
        <v>0.12540000000000001</v>
      </c>
      <c r="M252" s="194">
        <f t="shared" si="33"/>
        <v>3.7620000000000005</v>
      </c>
      <c r="N252" s="194">
        <f t="shared" si="34"/>
        <v>0</v>
      </c>
      <c r="O252" s="195"/>
      <c r="P252" s="195"/>
      <c r="Q252" s="195"/>
      <c r="R252" s="195"/>
      <c r="S252" s="195"/>
      <c r="T252" s="195"/>
      <c r="U252" s="195"/>
      <c r="V252" s="195"/>
      <c r="W252" s="195"/>
      <c r="X252" s="195"/>
      <c r="Y252" s="195"/>
      <c r="Z252" s="195"/>
      <c r="AA252" s="195"/>
      <c r="AB252" s="195"/>
      <c r="AC252" s="196"/>
      <c r="AD252" s="196"/>
      <c r="AE252" s="196"/>
      <c r="AF252" s="196"/>
      <c r="AG252" s="196"/>
      <c r="AH252" s="196"/>
      <c r="AI252" s="196"/>
      <c r="AJ252" s="195"/>
      <c r="AK252" s="195"/>
      <c r="AL252" s="195"/>
      <c r="AM252" s="195"/>
      <c r="AN252" s="195"/>
      <c r="AO252" s="195"/>
      <c r="AP252" s="195"/>
      <c r="AQ252" s="195"/>
      <c r="AR252" s="195"/>
      <c r="AS252" s="195"/>
      <c r="AT252" s="195"/>
      <c r="AU252" s="195"/>
      <c r="AV252" s="195"/>
      <c r="AW252" s="195"/>
      <c r="AX252" s="191" t="s">
        <v>482</v>
      </c>
      <c r="AY252" s="215" t="s">
        <v>482</v>
      </c>
      <c r="AZ252" s="207" t="s">
        <v>1263</v>
      </c>
      <c r="BA252" s="229" t="s">
        <v>836</v>
      </c>
    </row>
    <row r="253" spans="1:53" s="187" customFormat="1">
      <c r="A253" s="188" t="s">
        <v>827</v>
      </c>
      <c r="B253" s="219">
        <v>11037</v>
      </c>
      <c r="C253" s="219">
        <v>11037</v>
      </c>
      <c r="D253" s="188" t="s">
        <v>1264</v>
      </c>
      <c r="E253" s="191" t="s">
        <v>15</v>
      </c>
      <c r="F253" s="191" t="s">
        <v>59</v>
      </c>
      <c r="G253" s="192"/>
      <c r="H253" s="193">
        <f t="shared" si="35"/>
        <v>2.7010000000000001</v>
      </c>
      <c r="I253" s="194">
        <v>7.4000000000000003E-3</v>
      </c>
      <c r="J253" s="194">
        <f t="shared" si="32"/>
        <v>0.222</v>
      </c>
      <c r="K253" s="194">
        <f t="shared" si="36"/>
        <v>2.7010000000000001</v>
      </c>
      <c r="L253" s="194">
        <v>7.4000000000000003E-3</v>
      </c>
      <c r="M253" s="194">
        <f t="shared" si="33"/>
        <v>0.222</v>
      </c>
      <c r="N253" s="194">
        <f t="shared" si="34"/>
        <v>0</v>
      </c>
      <c r="O253" s="195"/>
      <c r="P253" s="195"/>
      <c r="Q253" s="195"/>
      <c r="R253" s="195"/>
      <c r="S253" s="195"/>
      <c r="T253" s="195"/>
      <c r="U253" s="195"/>
      <c r="V253" s="195"/>
      <c r="W253" s="195"/>
      <c r="X253" s="195"/>
      <c r="Y253" s="195"/>
      <c r="Z253" s="195"/>
      <c r="AA253" s="195"/>
      <c r="AB253" s="195"/>
      <c r="AC253" s="196"/>
      <c r="AD253" s="196"/>
      <c r="AE253" s="196"/>
      <c r="AF253" s="196"/>
      <c r="AG253" s="196"/>
      <c r="AH253" s="196"/>
      <c r="AI253" s="196"/>
      <c r="AJ253" s="195"/>
      <c r="AK253" s="195"/>
      <c r="AL253" s="195"/>
      <c r="AM253" s="195"/>
      <c r="AN253" s="195"/>
      <c r="AO253" s="195"/>
      <c r="AP253" s="195"/>
      <c r="AQ253" s="195"/>
      <c r="AR253" s="195"/>
      <c r="AS253" s="195"/>
      <c r="AT253" s="195"/>
      <c r="AU253" s="195"/>
      <c r="AV253" s="195"/>
      <c r="AW253" s="195"/>
      <c r="AX253" s="191">
        <v>10</v>
      </c>
      <c r="AY253" s="215">
        <v>10</v>
      </c>
      <c r="AZ253" s="207" t="s">
        <v>1176</v>
      </c>
      <c r="BA253" s="201" t="s">
        <v>868</v>
      </c>
    </row>
    <row r="254" spans="1:53" s="187" customFormat="1">
      <c r="A254" s="188" t="s">
        <v>827</v>
      </c>
      <c r="B254" s="219">
        <v>11091</v>
      </c>
      <c r="C254" s="219">
        <v>11091</v>
      </c>
      <c r="D254" s="227" t="s">
        <v>1265</v>
      </c>
      <c r="E254" s="191" t="s">
        <v>15</v>
      </c>
      <c r="F254" s="191" t="s">
        <v>59</v>
      </c>
      <c r="G254" s="192"/>
      <c r="H254" s="193">
        <f t="shared" si="35"/>
        <v>6.2050000000000001</v>
      </c>
      <c r="I254" s="194">
        <v>1.7000000000000001E-2</v>
      </c>
      <c r="J254" s="194">
        <f t="shared" si="32"/>
        <v>0.51</v>
      </c>
      <c r="K254" s="194">
        <f t="shared" si="36"/>
        <v>6.2050000000000001</v>
      </c>
      <c r="L254" s="194">
        <v>1.7000000000000001E-2</v>
      </c>
      <c r="M254" s="194">
        <f t="shared" si="33"/>
        <v>0.51</v>
      </c>
      <c r="N254" s="194">
        <f t="shared" si="34"/>
        <v>0</v>
      </c>
      <c r="O254" s="195"/>
      <c r="P254" s="195"/>
      <c r="Q254" s="195"/>
      <c r="R254" s="195"/>
      <c r="S254" s="195"/>
      <c r="T254" s="195"/>
      <c r="U254" s="195"/>
      <c r="V254" s="195"/>
      <c r="W254" s="195"/>
      <c r="X254" s="195"/>
      <c r="Y254" s="195"/>
      <c r="Z254" s="195"/>
      <c r="AA254" s="195"/>
      <c r="AB254" s="195"/>
      <c r="AC254" s="196"/>
      <c r="AD254" s="196"/>
      <c r="AE254" s="196"/>
      <c r="AF254" s="196"/>
      <c r="AG254" s="196"/>
      <c r="AH254" s="196"/>
      <c r="AI254" s="196"/>
      <c r="AJ254" s="195"/>
      <c r="AK254" s="195"/>
      <c r="AL254" s="195"/>
      <c r="AM254" s="195"/>
      <c r="AN254" s="195"/>
      <c r="AO254" s="195"/>
      <c r="AP254" s="195"/>
      <c r="AQ254" s="195"/>
      <c r="AR254" s="195"/>
      <c r="AS254" s="195"/>
      <c r="AT254" s="195"/>
      <c r="AU254" s="195"/>
      <c r="AV254" s="195"/>
      <c r="AW254" s="195"/>
      <c r="AX254" s="191" t="s">
        <v>482</v>
      </c>
      <c r="AY254" s="215" t="s">
        <v>482</v>
      </c>
      <c r="AZ254" s="207" t="s">
        <v>907</v>
      </c>
      <c r="BA254" s="201" t="s">
        <v>1122</v>
      </c>
    </row>
    <row r="255" spans="1:53" s="187" customFormat="1">
      <c r="A255" s="188" t="s">
        <v>827</v>
      </c>
      <c r="B255" s="257">
        <v>11096</v>
      </c>
      <c r="C255" s="257">
        <v>11096</v>
      </c>
      <c r="D255" s="288" t="s">
        <v>1266</v>
      </c>
      <c r="E255" s="191" t="s">
        <v>921</v>
      </c>
      <c r="F255" s="191" t="s">
        <v>59</v>
      </c>
      <c r="G255" s="212"/>
      <c r="H255" s="193">
        <f t="shared" si="35"/>
        <v>9.2345000000000006</v>
      </c>
      <c r="I255" s="194">
        <v>2.53E-2</v>
      </c>
      <c r="J255" s="194">
        <f t="shared" si="32"/>
        <v>0.75900000000000001</v>
      </c>
      <c r="K255" s="194">
        <f t="shared" si="36"/>
        <v>9.2345000000000006</v>
      </c>
      <c r="L255" s="194">
        <v>2.53E-2</v>
      </c>
      <c r="M255" s="194">
        <f t="shared" si="33"/>
        <v>0.75900000000000001</v>
      </c>
      <c r="N255" s="194">
        <f t="shared" si="34"/>
        <v>0</v>
      </c>
      <c r="O255" s="195"/>
      <c r="P255" s="195"/>
      <c r="Q255" s="195"/>
      <c r="R255" s="195"/>
      <c r="S255" s="195"/>
      <c r="T255" s="195"/>
      <c r="U255" s="195"/>
      <c r="V255" s="195"/>
      <c r="W255" s="195"/>
      <c r="X255" s="195"/>
      <c r="Y255" s="195"/>
      <c r="Z255" s="195"/>
      <c r="AA255" s="195"/>
      <c r="AB255" s="195"/>
      <c r="AC255" s="196"/>
      <c r="AD255" s="196"/>
      <c r="AE255" s="196"/>
      <c r="AF255" s="196"/>
      <c r="AG255" s="196"/>
      <c r="AH255" s="196"/>
      <c r="AI255" s="196"/>
      <c r="AJ255" s="195"/>
      <c r="AK255" s="195"/>
      <c r="AL255" s="195"/>
      <c r="AM255" s="195"/>
      <c r="AN255" s="195"/>
      <c r="AO255" s="195"/>
      <c r="AP255" s="195"/>
      <c r="AQ255" s="195"/>
      <c r="AR255" s="195"/>
      <c r="AS255" s="195"/>
      <c r="AT255" s="195"/>
      <c r="AU255" s="195"/>
      <c r="AV255" s="195"/>
      <c r="AW255" s="195"/>
      <c r="AX255" s="212">
        <v>10</v>
      </c>
      <c r="AY255" s="276">
        <v>10</v>
      </c>
      <c r="AZ255" s="252" t="s">
        <v>765</v>
      </c>
      <c r="BA255" s="253" t="s">
        <v>1267</v>
      </c>
    </row>
    <row r="256" spans="1:53" s="187" customFormat="1">
      <c r="A256" s="188" t="s">
        <v>827</v>
      </c>
      <c r="B256" s="213">
        <v>11099</v>
      </c>
      <c r="C256" s="213">
        <v>11099</v>
      </c>
      <c r="D256" s="223" t="s">
        <v>1268</v>
      </c>
      <c r="E256" s="191" t="s">
        <v>1269</v>
      </c>
      <c r="F256" s="191" t="s">
        <v>59</v>
      </c>
      <c r="G256" s="191"/>
      <c r="H256" s="193">
        <f t="shared" si="35"/>
        <v>5.4749999999999996</v>
      </c>
      <c r="I256" s="194">
        <v>1.4999999999999999E-2</v>
      </c>
      <c r="J256" s="194">
        <f t="shared" si="32"/>
        <v>0.44999999999999996</v>
      </c>
      <c r="K256" s="194">
        <f t="shared" si="36"/>
        <v>5.4749999999999996</v>
      </c>
      <c r="L256" s="194">
        <v>1.4999999999999999E-2</v>
      </c>
      <c r="M256" s="194">
        <f t="shared" si="33"/>
        <v>0.44999999999999996</v>
      </c>
      <c r="N256" s="194">
        <f t="shared" si="34"/>
        <v>0</v>
      </c>
      <c r="O256" s="195"/>
      <c r="P256" s="195"/>
      <c r="Q256" s="195"/>
      <c r="R256" s="195"/>
      <c r="S256" s="195"/>
      <c r="T256" s="195"/>
      <c r="U256" s="195"/>
      <c r="V256" s="195"/>
      <c r="W256" s="195"/>
      <c r="X256" s="195"/>
      <c r="Y256" s="195"/>
      <c r="Z256" s="195"/>
      <c r="AA256" s="195"/>
      <c r="AB256" s="195"/>
      <c r="AC256" s="196"/>
      <c r="AD256" s="196"/>
      <c r="AE256" s="196"/>
      <c r="AF256" s="196"/>
      <c r="AG256" s="196"/>
      <c r="AH256" s="196"/>
      <c r="AI256" s="196"/>
      <c r="AJ256" s="195"/>
      <c r="AK256" s="195"/>
      <c r="AL256" s="195"/>
      <c r="AM256" s="195"/>
      <c r="AN256" s="195"/>
      <c r="AO256" s="195"/>
      <c r="AP256" s="195"/>
      <c r="AQ256" s="195"/>
      <c r="AR256" s="195"/>
      <c r="AS256" s="195"/>
      <c r="AT256" s="195"/>
      <c r="AU256" s="195"/>
      <c r="AV256" s="195"/>
      <c r="AW256" s="195"/>
      <c r="AX256" s="191">
        <v>20</v>
      </c>
      <c r="AY256" s="215" t="s">
        <v>851</v>
      </c>
      <c r="AZ256" s="216" t="s">
        <v>1270</v>
      </c>
      <c r="BA256" s="242" t="s">
        <v>830</v>
      </c>
    </row>
    <row r="257" spans="1:53" s="187" customFormat="1" ht="37.5">
      <c r="A257" s="188" t="s">
        <v>827</v>
      </c>
      <c r="B257" s="240">
        <v>11138</v>
      </c>
      <c r="C257" s="240">
        <v>11138</v>
      </c>
      <c r="D257" s="214" t="s">
        <v>1271</v>
      </c>
      <c r="E257" s="191" t="s">
        <v>101</v>
      </c>
      <c r="F257" s="191" t="s">
        <v>59</v>
      </c>
      <c r="G257" s="191" t="s">
        <v>782</v>
      </c>
      <c r="H257" s="193">
        <f t="shared" si="35"/>
        <v>12.884499999999999</v>
      </c>
      <c r="I257" s="199">
        <v>3.5299999999999998E-2</v>
      </c>
      <c r="J257" s="194">
        <f t="shared" si="32"/>
        <v>1.0589999999999999</v>
      </c>
      <c r="K257" s="194">
        <f t="shared" si="36"/>
        <v>14.892000000000001</v>
      </c>
      <c r="L257" s="199">
        <v>4.0800000000000003E-2</v>
      </c>
      <c r="M257" s="194">
        <f t="shared" si="33"/>
        <v>1.2240000000000002</v>
      </c>
      <c r="N257" s="194">
        <f t="shared" si="34"/>
        <v>5.5000000000000049E-3</v>
      </c>
      <c r="O257" s="195"/>
      <c r="P257" s="195"/>
      <c r="Q257" s="195"/>
      <c r="R257" s="195"/>
      <c r="S257" s="195"/>
      <c r="T257" s="195"/>
      <c r="U257" s="195"/>
      <c r="V257" s="195"/>
      <c r="W257" s="195"/>
      <c r="X257" s="195"/>
      <c r="Y257" s="195"/>
      <c r="Z257" s="195"/>
      <c r="AA257" s="195"/>
      <c r="AB257" s="195"/>
      <c r="AC257" s="196"/>
      <c r="AD257" s="196"/>
      <c r="AE257" s="196"/>
      <c r="AF257" s="196"/>
      <c r="AG257" s="196"/>
      <c r="AH257" s="196"/>
      <c r="AI257" s="196"/>
      <c r="AJ257" s="195"/>
      <c r="AK257" s="195"/>
      <c r="AL257" s="195"/>
      <c r="AM257" s="195"/>
      <c r="AN257" s="195"/>
      <c r="AO257" s="195"/>
      <c r="AP257" s="195"/>
      <c r="AQ257" s="195"/>
      <c r="AR257" s="195"/>
      <c r="AS257" s="195"/>
      <c r="AT257" s="195"/>
      <c r="AU257" s="195"/>
      <c r="AV257" s="195"/>
      <c r="AW257" s="195"/>
      <c r="AX257" s="191">
        <v>20</v>
      </c>
      <c r="AY257" s="215">
        <v>20</v>
      </c>
      <c r="AZ257" s="283" t="s">
        <v>1272</v>
      </c>
      <c r="BA257" s="235" t="s">
        <v>830</v>
      </c>
    </row>
    <row r="258" spans="1:53" s="187" customFormat="1">
      <c r="A258" s="188" t="s">
        <v>827</v>
      </c>
      <c r="B258" s="240">
        <v>11152</v>
      </c>
      <c r="C258" s="240">
        <v>11152</v>
      </c>
      <c r="D258" s="283" t="s">
        <v>1273</v>
      </c>
      <c r="E258" s="191" t="s">
        <v>15</v>
      </c>
      <c r="F258" s="191" t="s">
        <v>59</v>
      </c>
      <c r="G258" s="191"/>
      <c r="H258" s="193">
        <f t="shared" si="35"/>
        <v>14.162000000000001</v>
      </c>
      <c r="I258" s="194">
        <v>3.8800000000000001E-2</v>
      </c>
      <c r="J258" s="194">
        <f t="shared" si="32"/>
        <v>1.1640000000000001</v>
      </c>
      <c r="K258" s="194">
        <f t="shared" si="36"/>
        <v>14.162000000000001</v>
      </c>
      <c r="L258" s="194">
        <v>3.8800000000000001E-2</v>
      </c>
      <c r="M258" s="194">
        <f t="shared" si="33"/>
        <v>1.1640000000000001</v>
      </c>
      <c r="N258" s="194">
        <f t="shared" si="34"/>
        <v>0</v>
      </c>
      <c r="O258" s="195"/>
      <c r="P258" s="195"/>
      <c r="Q258" s="195"/>
      <c r="R258" s="195"/>
      <c r="S258" s="195"/>
      <c r="T258" s="195"/>
      <c r="U258" s="195"/>
      <c r="V258" s="195"/>
      <c r="W258" s="195"/>
      <c r="X258" s="195"/>
      <c r="Y258" s="195"/>
      <c r="Z258" s="195"/>
      <c r="AA258" s="195"/>
      <c r="AB258" s="195"/>
      <c r="AC258" s="196"/>
      <c r="AD258" s="196"/>
      <c r="AE258" s="196"/>
      <c r="AF258" s="196"/>
      <c r="AG258" s="196"/>
      <c r="AH258" s="196"/>
      <c r="AI258" s="196"/>
      <c r="AJ258" s="195"/>
      <c r="AK258" s="195"/>
      <c r="AL258" s="195"/>
      <c r="AM258" s="195"/>
      <c r="AN258" s="195"/>
      <c r="AO258" s="195"/>
      <c r="AP258" s="195"/>
      <c r="AQ258" s="195"/>
      <c r="AR258" s="195"/>
      <c r="AS258" s="195"/>
      <c r="AT258" s="195"/>
      <c r="AU258" s="195"/>
      <c r="AV258" s="195"/>
      <c r="AW258" s="195"/>
      <c r="AX258" s="191">
        <v>20</v>
      </c>
      <c r="AY258" s="215">
        <v>20</v>
      </c>
      <c r="AZ258" s="216" t="s">
        <v>835</v>
      </c>
      <c r="BA258" s="242" t="s">
        <v>855</v>
      </c>
    </row>
    <row r="259" spans="1:53" s="187" customFormat="1" ht="56.25">
      <c r="A259" s="188" t="s">
        <v>827</v>
      </c>
      <c r="B259" s="213">
        <v>11161</v>
      </c>
      <c r="C259" s="213">
        <v>11161</v>
      </c>
      <c r="D259" s="223" t="s">
        <v>1274</v>
      </c>
      <c r="E259" s="191" t="s">
        <v>15</v>
      </c>
      <c r="F259" s="191" t="s">
        <v>59</v>
      </c>
      <c r="G259" s="191" t="s">
        <v>782</v>
      </c>
      <c r="H259" s="193">
        <f t="shared" si="35"/>
        <v>34.966999999999999</v>
      </c>
      <c r="I259" s="194">
        <v>9.5799999999999996E-2</v>
      </c>
      <c r="J259" s="194">
        <f t="shared" si="32"/>
        <v>2.8739999999999997</v>
      </c>
      <c r="K259" s="194">
        <f t="shared" si="36"/>
        <v>34.966999999999999</v>
      </c>
      <c r="L259" s="194">
        <v>9.5799999999999996E-2</v>
      </c>
      <c r="M259" s="194">
        <f t="shared" si="33"/>
        <v>2.8739999999999997</v>
      </c>
      <c r="N259" s="194">
        <f t="shared" si="34"/>
        <v>0</v>
      </c>
      <c r="O259" s="195"/>
      <c r="P259" s="195"/>
      <c r="Q259" s="195"/>
      <c r="R259" s="195"/>
      <c r="S259" s="195"/>
      <c r="T259" s="195"/>
      <c r="U259" s="195"/>
      <c r="V259" s="195"/>
      <c r="W259" s="195"/>
      <c r="X259" s="195"/>
      <c r="Y259" s="195"/>
      <c r="Z259" s="195"/>
      <c r="AA259" s="195"/>
      <c r="AB259" s="195"/>
      <c r="AC259" s="196"/>
      <c r="AD259" s="196"/>
      <c r="AE259" s="196"/>
      <c r="AF259" s="196"/>
      <c r="AG259" s="196"/>
      <c r="AH259" s="196"/>
      <c r="AI259" s="196"/>
      <c r="AJ259" s="195"/>
      <c r="AK259" s="195"/>
      <c r="AL259" s="195"/>
      <c r="AM259" s="195"/>
      <c r="AN259" s="195"/>
      <c r="AO259" s="195"/>
      <c r="AP259" s="195"/>
      <c r="AQ259" s="195"/>
      <c r="AR259" s="195"/>
      <c r="AS259" s="195"/>
      <c r="AT259" s="195"/>
      <c r="AU259" s="195"/>
      <c r="AV259" s="195"/>
      <c r="AW259" s="195"/>
      <c r="AX259" s="215" t="s">
        <v>1053</v>
      </c>
      <c r="AY259" s="215" t="s">
        <v>515</v>
      </c>
      <c r="AZ259" s="216" t="s">
        <v>1275</v>
      </c>
      <c r="BA259" s="242" t="s">
        <v>830</v>
      </c>
    </row>
    <row r="260" spans="1:53" s="187" customFormat="1">
      <c r="A260" s="188" t="s">
        <v>827</v>
      </c>
      <c r="B260" s="240">
        <v>11163</v>
      </c>
      <c r="C260" s="240">
        <v>11163</v>
      </c>
      <c r="D260" s="283" t="s">
        <v>1276</v>
      </c>
      <c r="E260" s="191" t="s">
        <v>15</v>
      </c>
      <c r="F260" s="191" t="s">
        <v>59</v>
      </c>
      <c r="G260" s="212"/>
      <c r="H260" s="193">
        <f t="shared" si="35"/>
        <v>36.682500000000005</v>
      </c>
      <c r="I260" s="194">
        <v>0.10050000000000001</v>
      </c>
      <c r="J260" s="194">
        <f t="shared" si="32"/>
        <v>3.0150000000000001</v>
      </c>
      <c r="K260" s="194">
        <f t="shared" si="36"/>
        <v>36.573</v>
      </c>
      <c r="L260" s="194">
        <v>0.1002</v>
      </c>
      <c r="M260" s="194">
        <f t="shared" si="33"/>
        <v>3.0059999999999998</v>
      </c>
      <c r="N260" s="194">
        <f t="shared" si="34"/>
        <v>-3.0000000000000859E-4</v>
      </c>
      <c r="O260" s="195"/>
      <c r="P260" s="195"/>
      <c r="Q260" s="195"/>
      <c r="R260" s="195"/>
      <c r="S260" s="195"/>
      <c r="T260" s="195"/>
      <c r="U260" s="195"/>
      <c r="V260" s="195"/>
      <c r="W260" s="195"/>
      <c r="X260" s="195"/>
      <c r="Y260" s="195"/>
      <c r="Z260" s="195"/>
      <c r="AA260" s="195"/>
      <c r="AB260" s="195"/>
      <c r="AC260" s="196"/>
      <c r="AD260" s="196"/>
      <c r="AE260" s="196"/>
      <c r="AF260" s="196"/>
      <c r="AG260" s="196"/>
      <c r="AH260" s="196"/>
      <c r="AI260" s="196"/>
      <c r="AJ260" s="195"/>
      <c r="AK260" s="195"/>
      <c r="AL260" s="195"/>
      <c r="AM260" s="195"/>
      <c r="AN260" s="195"/>
      <c r="AO260" s="195"/>
      <c r="AP260" s="195"/>
      <c r="AQ260" s="195"/>
      <c r="AR260" s="195"/>
      <c r="AS260" s="195"/>
      <c r="AT260" s="195"/>
      <c r="AU260" s="195"/>
      <c r="AV260" s="195"/>
      <c r="AW260" s="195"/>
      <c r="AX260" s="191">
        <v>20</v>
      </c>
      <c r="AY260" s="215">
        <v>20</v>
      </c>
      <c r="AZ260" s="216" t="s">
        <v>1277</v>
      </c>
      <c r="BA260" s="242" t="s">
        <v>1189</v>
      </c>
    </row>
    <row r="261" spans="1:53" s="187" customFormat="1" ht="37.5">
      <c r="A261" s="188" t="s">
        <v>827</v>
      </c>
      <c r="B261" s="240">
        <v>11171</v>
      </c>
      <c r="C261" s="240">
        <v>11171</v>
      </c>
      <c r="D261" s="223" t="s">
        <v>1278</v>
      </c>
      <c r="E261" s="191" t="s">
        <v>1279</v>
      </c>
      <c r="F261" s="191" t="s">
        <v>59</v>
      </c>
      <c r="G261" s="192"/>
      <c r="H261" s="193">
        <f t="shared" si="35"/>
        <v>7.0445000000000002</v>
      </c>
      <c r="I261" s="194">
        <v>1.9300000000000001E-2</v>
      </c>
      <c r="J261" s="194">
        <f t="shared" si="32"/>
        <v>0.57900000000000007</v>
      </c>
      <c r="K261" s="194">
        <f t="shared" si="36"/>
        <v>7.0445000000000002</v>
      </c>
      <c r="L261" s="194">
        <v>1.9300000000000001E-2</v>
      </c>
      <c r="M261" s="194">
        <f t="shared" si="33"/>
        <v>0.57900000000000007</v>
      </c>
      <c r="N261" s="194">
        <f t="shared" si="34"/>
        <v>0</v>
      </c>
      <c r="O261" s="195"/>
      <c r="P261" s="195"/>
      <c r="Q261" s="195"/>
      <c r="R261" s="195"/>
      <c r="S261" s="195"/>
      <c r="T261" s="195"/>
      <c r="U261" s="195"/>
      <c r="V261" s="195"/>
      <c r="W261" s="195"/>
      <c r="X261" s="195"/>
      <c r="Y261" s="195"/>
      <c r="Z261" s="195"/>
      <c r="AA261" s="195"/>
      <c r="AB261" s="195"/>
      <c r="AC261" s="196"/>
      <c r="AD261" s="196"/>
      <c r="AE261" s="196"/>
      <c r="AF261" s="196"/>
      <c r="AG261" s="196"/>
      <c r="AH261" s="196"/>
      <c r="AI261" s="196"/>
      <c r="AJ261" s="195"/>
      <c r="AK261" s="195"/>
      <c r="AL261" s="195"/>
      <c r="AM261" s="195"/>
      <c r="AN261" s="195"/>
      <c r="AO261" s="195"/>
      <c r="AP261" s="195"/>
      <c r="AQ261" s="195"/>
      <c r="AR261" s="195"/>
      <c r="AS261" s="195"/>
      <c r="AT261" s="195"/>
      <c r="AU261" s="195"/>
      <c r="AV261" s="195"/>
      <c r="AW261" s="195"/>
      <c r="AX261" s="191" t="s">
        <v>1280</v>
      </c>
      <c r="AY261" s="215" t="s">
        <v>1281</v>
      </c>
      <c r="AZ261" s="216" t="s">
        <v>1282</v>
      </c>
      <c r="BA261" s="235" t="s">
        <v>1283</v>
      </c>
    </row>
    <row r="262" spans="1:53" s="187" customFormat="1">
      <c r="A262" s="188" t="s">
        <v>827</v>
      </c>
      <c r="B262" s="240">
        <v>11175</v>
      </c>
      <c r="C262" s="240">
        <v>11175</v>
      </c>
      <c r="D262" s="283" t="s">
        <v>1284</v>
      </c>
      <c r="E262" s="191" t="s">
        <v>15</v>
      </c>
      <c r="F262" s="191" t="s">
        <v>59</v>
      </c>
      <c r="G262" s="191"/>
      <c r="H262" s="193">
        <f t="shared" si="35"/>
        <v>10.1105</v>
      </c>
      <c r="I262" s="194">
        <v>2.7699999999999999E-2</v>
      </c>
      <c r="J262" s="194">
        <f t="shared" si="32"/>
        <v>0.83099999999999996</v>
      </c>
      <c r="K262" s="194">
        <f t="shared" si="36"/>
        <v>9.0519999999999996</v>
      </c>
      <c r="L262" s="194">
        <v>2.4799999999999999E-2</v>
      </c>
      <c r="M262" s="194">
        <f t="shared" si="33"/>
        <v>0.74399999999999999</v>
      </c>
      <c r="N262" s="194">
        <f t="shared" si="34"/>
        <v>-2.8999999999999998E-3</v>
      </c>
      <c r="O262" s="195"/>
      <c r="P262" s="195"/>
      <c r="Q262" s="195"/>
      <c r="R262" s="195"/>
      <c r="S262" s="195"/>
      <c r="T262" s="195"/>
      <c r="U262" s="195"/>
      <c r="V262" s="195"/>
      <c r="W262" s="195"/>
      <c r="X262" s="195"/>
      <c r="Y262" s="195"/>
      <c r="Z262" s="195"/>
      <c r="AA262" s="195"/>
      <c r="AB262" s="195"/>
      <c r="AC262" s="196"/>
      <c r="AD262" s="196"/>
      <c r="AE262" s="196"/>
      <c r="AF262" s="196"/>
      <c r="AG262" s="196"/>
      <c r="AH262" s="196"/>
      <c r="AI262" s="196"/>
      <c r="AJ262" s="195"/>
      <c r="AK262" s="195"/>
      <c r="AL262" s="195"/>
      <c r="AM262" s="195"/>
      <c r="AN262" s="195"/>
      <c r="AO262" s="195"/>
      <c r="AP262" s="195"/>
      <c r="AQ262" s="195"/>
      <c r="AR262" s="195"/>
      <c r="AS262" s="195"/>
      <c r="AT262" s="195"/>
      <c r="AU262" s="195"/>
      <c r="AV262" s="195"/>
      <c r="AW262" s="195"/>
      <c r="AX262" s="191">
        <v>20</v>
      </c>
      <c r="AY262" s="215">
        <v>20</v>
      </c>
      <c r="AZ262" s="216" t="s">
        <v>1285</v>
      </c>
      <c r="BA262" s="242" t="s">
        <v>1286</v>
      </c>
    </row>
    <row r="263" spans="1:53" s="187" customFormat="1" ht="37.5">
      <c r="A263" s="188" t="s">
        <v>827</v>
      </c>
      <c r="B263" s="240">
        <v>11176</v>
      </c>
      <c r="C263" s="240">
        <v>11176</v>
      </c>
      <c r="D263" s="223" t="s">
        <v>1287</v>
      </c>
      <c r="E263" s="191" t="s">
        <v>1279</v>
      </c>
      <c r="F263" s="191" t="s">
        <v>59</v>
      </c>
      <c r="G263" s="210"/>
      <c r="H263" s="193">
        <f t="shared" si="35"/>
        <v>28.250999999999998</v>
      </c>
      <c r="I263" s="194">
        <v>7.7399999999999997E-2</v>
      </c>
      <c r="J263" s="194">
        <f t="shared" si="32"/>
        <v>2.3220000000000001</v>
      </c>
      <c r="K263" s="194">
        <f t="shared" si="36"/>
        <v>28.250999999999998</v>
      </c>
      <c r="L263" s="194">
        <v>7.7399999999999997E-2</v>
      </c>
      <c r="M263" s="194">
        <f t="shared" si="33"/>
        <v>2.3220000000000001</v>
      </c>
      <c r="N263" s="194">
        <f t="shared" si="34"/>
        <v>0</v>
      </c>
      <c r="O263" s="195"/>
      <c r="P263" s="195"/>
      <c r="Q263" s="195"/>
      <c r="R263" s="195"/>
      <c r="S263" s="195"/>
      <c r="T263" s="195"/>
      <c r="U263" s="195"/>
      <c r="V263" s="195"/>
      <c r="W263" s="195"/>
      <c r="X263" s="195"/>
      <c r="Y263" s="195"/>
      <c r="Z263" s="195"/>
      <c r="AA263" s="195"/>
      <c r="AB263" s="195"/>
      <c r="AC263" s="196"/>
      <c r="AD263" s="196"/>
      <c r="AE263" s="196"/>
      <c r="AF263" s="196"/>
      <c r="AG263" s="196"/>
      <c r="AH263" s="196"/>
      <c r="AI263" s="196"/>
      <c r="AJ263" s="195"/>
      <c r="AK263" s="195"/>
      <c r="AL263" s="195"/>
      <c r="AM263" s="195"/>
      <c r="AN263" s="195"/>
      <c r="AO263" s="195"/>
      <c r="AP263" s="195"/>
      <c r="AQ263" s="195"/>
      <c r="AR263" s="195"/>
      <c r="AS263" s="195"/>
      <c r="AT263" s="195"/>
      <c r="AU263" s="195"/>
      <c r="AV263" s="195"/>
      <c r="AW263" s="195"/>
      <c r="AX263" s="224" t="s">
        <v>1280</v>
      </c>
      <c r="AY263" s="225" t="s">
        <v>1281</v>
      </c>
      <c r="AZ263" s="216" t="s">
        <v>1282</v>
      </c>
      <c r="BA263" s="235" t="s">
        <v>1283</v>
      </c>
    </row>
    <row r="264" spans="1:53" s="187" customFormat="1">
      <c r="A264" s="188" t="s">
        <v>827</v>
      </c>
      <c r="B264" s="240">
        <v>11178</v>
      </c>
      <c r="C264" s="240">
        <v>11178</v>
      </c>
      <c r="D264" s="227" t="s">
        <v>1288</v>
      </c>
      <c r="E264" s="191" t="s">
        <v>15</v>
      </c>
      <c r="F264" s="191" t="s">
        <v>59</v>
      </c>
      <c r="G264" s="191"/>
      <c r="H264" s="193">
        <f t="shared" si="35"/>
        <v>0</v>
      </c>
      <c r="I264" s="194">
        <v>0</v>
      </c>
      <c r="J264" s="194">
        <f t="shared" si="32"/>
        <v>0</v>
      </c>
      <c r="K264" s="194">
        <f t="shared" si="36"/>
        <v>19.819500000000001</v>
      </c>
      <c r="L264" s="194">
        <v>5.4300000000000001E-2</v>
      </c>
      <c r="M264" s="194">
        <f t="shared" si="33"/>
        <v>1.629</v>
      </c>
      <c r="N264" s="194">
        <f t="shared" si="34"/>
        <v>5.4300000000000001E-2</v>
      </c>
      <c r="O264" s="195"/>
      <c r="P264" s="195"/>
      <c r="Q264" s="195"/>
      <c r="R264" s="195"/>
      <c r="S264" s="195"/>
      <c r="T264" s="195"/>
      <c r="U264" s="195"/>
      <c r="V264" s="195"/>
      <c r="W264" s="195"/>
      <c r="X264" s="195"/>
      <c r="Y264" s="195"/>
      <c r="Z264" s="195"/>
      <c r="AA264" s="195"/>
      <c r="AB264" s="195"/>
      <c r="AC264" s="196"/>
      <c r="AD264" s="196"/>
      <c r="AE264" s="196"/>
      <c r="AF264" s="196"/>
      <c r="AG264" s="196"/>
      <c r="AH264" s="196"/>
      <c r="AI264" s="196"/>
      <c r="AJ264" s="195"/>
      <c r="AK264" s="195"/>
      <c r="AL264" s="195"/>
      <c r="AM264" s="195"/>
      <c r="AN264" s="195"/>
      <c r="AO264" s="195"/>
      <c r="AP264" s="195"/>
      <c r="AQ264" s="195"/>
      <c r="AR264" s="195"/>
      <c r="AS264" s="195"/>
      <c r="AT264" s="195"/>
      <c r="AU264" s="195"/>
      <c r="AV264" s="195"/>
      <c r="AW264" s="195"/>
      <c r="AX264" s="224">
        <v>20</v>
      </c>
      <c r="AY264" s="225" t="s">
        <v>851</v>
      </c>
      <c r="AZ264" s="216" t="s">
        <v>852</v>
      </c>
      <c r="BA264" s="242" t="s">
        <v>830</v>
      </c>
    </row>
    <row r="265" spans="1:53" s="187" customFormat="1" ht="37.5">
      <c r="A265" s="188" t="s">
        <v>827</v>
      </c>
      <c r="B265" s="213">
        <v>11181</v>
      </c>
      <c r="C265" s="213">
        <v>11181</v>
      </c>
      <c r="D265" s="223" t="s">
        <v>1289</v>
      </c>
      <c r="E265" s="191" t="s">
        <v>15</v>
      </c>
      <c r="F265" s="191" t="s">
        <v>59</v>
      </c>
      <c r="G265" s="191" t="s">
        <v>782</v>
      </c>
      <c r="H265" s="193">
        <f t="shared" si="35"/>
        <v>580.71500000000003</v>
      </c>
      <c r="I265" s="194">
        <v>1.591</v>
      </c>
      <c r="J265" s="194">
        <f t="shared" si="32"/>
        <v>47.73</v>
      </c>
      <c r="K265" s="194">
        <f t="shared" si="36"/>
        <v>580.71500000000003</v>
      </c>
      <c r="L265" s="194">
        <v>1.591</v>
      </c>
      <c r="M265" s="194">
        <f t="shared" si="33"/>
        <v>47.73</v>
      </c>
      <c r="N265" s="194">
        <f t="shared" si="34"/>
        <v>0</v>
      </c>
      <c r="O265" s="195"/>
      <c r="P265" s="195"/>
      <c r="Q265" s="195"/>
      <c r="R265" s="195"/>
      <c r="S265" s="195"/>
      <c r="T265" s="195"/>
      <c r="U265" s="195"/>
      <c r="V265" s="195"/>
      <c r="W265" s="195"/>
      <c r="X265" s="195"/>
      <c r="Y265" s="195"/>
      <c r="Z265" s="195"/>
      <c r="AA265" s="195"/>
      <c r="AB265" s="195"/>
      <c r="AC265" s="196"/>
      <c r="AD265" s="196"/>
      <c r="AE265" s="196"/>
      <c r="AF265" s="196"/>
      <c r="AG265" s="196"/>
      <c r="AH265" s="196"/>
      <c r="AI265" s="196"/>
      <c r="AJ265" s="195"/>
      <c r="AK265" s="195"/>
      <c r="AL265" s="195"/>
      <c r="AM265" s="195"/>
      <c r="AN265" s="195"/>
      <c r="AO265" s="195"/>
      <c r="AP265" s="195"/>
      <c r="AQ265" s="195"/>
      <c r="AR265" s="195"/>
      <c r="AS265" s="195"/>
      <c r="AT265" s="195"/>
      <c r="AU265" s="195"/>
      <c r="AV265" s="195"/>
      <c r="AW265" s="195"/>
      <c r="AX265" s="215">
        <v>10</v>
      </c>
      <c r="AY265" s="215" t="s">
        <v>515</v>
      </c>
      <c r="AZ265" s="216" t="s">
        <v>1290</v>
      </c>
      <c r="BA265" s="242" t="s">
        <v>830</v>
      </c>
    </row>
    <row r="266" spans="1:53" s="187" customFormat="1">
      <c r="A266" s="188" t="s">
        <v>827</v>
      </c>
      <c r="B266" s="240">
        <v>11292</v>
      </c>
      <c r="C266" s="240">
        <v>11292</v>
      </c>
      <c r="D266" s="283" t="s">
        <v>1291</v>
      </c>
      <c r="E266" s="191" t="s">
        <v>15</v>
      </c>
      <c r="F266" s="191" t="s">
        <v>58</v>
      </c>
      <c r="G266" s="212"/>
      <c r="H266" s="193">
        <f t="shared" si="35"/>
        <v>2.8835000000000002</v>
      </c>
      <c r="I266" s="194">
        <v>7.9000000000000008E-3</v>
      </c>
      <c r="J266" s="194">
        <f t="shared" si="32"/>
        <v>0.23700000000000002</v>
      </c>
      <c r="K266" s="194">
        <f t="shared" si="36"/>
        <v>2.8835000000000002</v>
      </c>
      <c r="L266" s="194">
        <v>7.9000000000000008E-3</v>
      </c>
      <c r="M266" s="194">
        <f t="shared" si="33"/>
        <v>0.23700000000000002</v>
      </c>
      <c r="N266" s="194">
        <f t="shared" si="34"/>
        <v>0</v>
      </c>
      <c r="O266" s="195"/>
      <c r="P266" s="195"/>
      <c r="Q266" s="195"/>
      <c r="R266" s="195"/>
      <c r="S266" s="195"/>
      <c r="T266" s="195"/>
      <c r="U266" s="195"/>
      <c r="V266" s="195"/>
      <c r="W266" s="195"/>
      <c r="X266" s="195"/>
      <c r="Y266" s="195"/>
      <c r="Z266" s="195"/>
      <c r="AA266" s="195"/>
      <c r="AB266" s="195"/>
      <c r="AC266" s="196"/>
      <c r="AD266" s="196"/>
      <c r="AE266" s="196"/>
      <c r="AF266" s="196"/>
      <c r="AG266" s="196"/>
      <c r="AH266" s="196"/>
      <c r="AI266" s="196"/>
      <c r="AJ266" s="195"/>
      <c r="AK266" s="195"/>
      <c r="AL266" s="195"/>
      <c r="AM266" s="195"/>
      <c r="AN266" s="195"/>
      <c r="AO266" s="195"/>
      <c r="AP266" s="195"/>
      <c r="AQ266" s="195"/>
      <c r="AR266" s="195"/>
      <c r="AS266" s="195"/>
      <c r="AT266" s="195"/>
      <c r="AU266" s="195"/>
      <c r="AV266" s="195"/>
      <c r="AW266" s="195"/>
      <c r="AX266" s="191">
        <v>20</v>
      </c>
      <c r="AY266" s="215">
        <v>20</v>
      </c>
      <c r="AZ266" s="216" t="s">
        <v>765</v>
      </c>
      <c r="BA266" s="242" t="s">
        <v>857</v>
      </c>
    </row>
    <row r="267" spans="1:53" s="187" customFormat="1">
      <c r="A267" s="188" t="s">
        <v>827</v>
      </c>
      <c r="B267" s="240">
        <v>11316</v>
      </c>
      <c r="C267" s="240">
        <v>11316</v>
      </c>
      <c r="D267" s="214" t="s">
        <v>1292</v>
      </c>
      <c r="E267" s="191" t="s">
        <v>15</v>
      </c>
      <c r="F267" s="191" t="s">
        <v>59</v>
      </c>
      <c r="G267" s="191" t="s">
        <v>782</v>
      </c>
      <c r="H267" s="193">
        <f t="shared" si="35"/>
        <v>0</v>
      </c>
      <c r="I267" s="199">
        <v>0</v>
      </c>
      <c r="J267" s="194">
        <f t="shared" si="32"/>
        <v>0</v>
      </c>
      <c r="K267" s="194">
        <f t="shared" si="36"/>
        <v>28.287500000000001</v>
      </c>
      <c r="L267" s="199">
        <v>7.7499999999999999E-2</v>
      </c>
      <c r="M267" s="194">
        <f t="shared" si="33"/>
        <v>2.3250000000000002</v>
      </c>
      <c r="N267" s="194">
        <f t="shared" si="34"/>
        <v>7.7499999999999999E-2</v>
      </c>
      <c r="O267" s="195"/>
      <c r="P267" s="195"/>
      <c r="Q267" s="195"/>
      <c r="R267" s="195"/>
      <c r="S267" s="195"/>
      <c r="T267" s="195"/>
      <c r="U267" s="195"/>
      <c r="V267" s="195"/>
      <c r="W267" s="195"/>
      <c r="X267" s="195"/>
      <c r="Y267" s="195"/>
      <c r="Z267" s="195"/>
      <c r="AA267" s="195"/>
      <c r="AB267" s="195"/>
      <c r="AC267" s="196"/>
      <c r="AD267" s="196"/>
      <c r="AE267" s="196"/>
      <c r="AF267" s="196"/>
      <c r="AG267" s="196"/>
      <c r="AH267" s="196"/>
      <c r="AI267" s="196"/>
      <c r="AJ267" s="195"/>
      <c r="AK267" s="195"/>
      <c r="AL267" s="195"/>
      <c r="AM267" s="195"/>
      <c r="AN267" s="195"/>
      <c r="AO267" s="195"/>
      <c r="AP267" s="195"/>
      <c r="AQ267" s="195"/>
      <c r="AR267" s="195"/>
      <c r="AS267" s="195"/>
      <c r="AT267" s="195"/>
      <c r="AU267" s="195"/>
      <c r="AV267" s="195"/>
      <c r="AW267" s="195"/>
      <c r="AX267" s="191">
        <v>20</v>
      </c>
      <c r="AY267" s="215" t="s">
        <v>851</v>
      </c>
      <c r="AZ267" s="234" t="s">
        <v>852</v>
      </c>
      <c r="BA267" s="235" t="s">
        <v>830</v>
      </c>
    </row>
    <row r="268" spans="1:53" s="187" customFormat="1">
      <c r="A268" s="188" t="s">
        <v>827</v>
      </c>
      <c r="B268" s="240">
        <v>11333</v>
      </c>
      <c r="C268" s="240">
        <v>11333</v>
      </c>
      <c r="D268" s="283" t="s">
        <v>1293</v>
      </c>
      <c r="E268" s="191" t="s">
        <v>15</v>
      </c>
      <c r="F268" s="191" t="s">
        <v>59</v>
      </c>
      <c r="G268" s="191"/>
      <c r="H268" s="193">
        <f t="shared" si="35"/>
        <v>14.527000000000001</v>
      </c>
      <c r="I268" s="194">
        <v>3.9800000000000002E-2</v>
      </c>
      <c r="J268" s="194">
        <f t="shared" si="32"/>
        <v>1.194</v>
      </c>
      <c r="K268" s="194">
        <f t="shared" si="36"/>
        <v>14.527000000000001</v>
      </c>
      <c r="L268" s="194">
        <v>3.9800000000000002E-2</v>
      </c>
      <c r="M268" s="194">
        <f t="shared" si="33"/>
        <v>1.194</v>
      </c>
      <c r="N268" s="194">
        <f t="shared" si="34"/>
        <v>0</v>
      </c>
      <c r="O268" s="195"/>
      <c r="P268" s="195"/>
      <c r="Q268" s="195"/>
      <c r="R268" s="195"/>
      <c r="S268" s="195"/>
      <c r="T268" s="195"/>
      <c r="U268" s="195"/>
      <c r="V268" s="195"/>
      <c r="W268" s="195"/>
      <c r="X268" s="195"/>
      <c r="Y268" s="195"/>
      <c r="Z268" s="195"/>
      <c r="AA268" s="195"/>
      <c r="AB268" s="195"/>
      <c r="AC268" s="196"/>
      <c r="AD268" s="196"/>
      <c r="AE268" s="196"/>
      <c r="AF268" s="196"/>
      <c r="AG268" s="196"/>
      <c r="AH268" s="196"/>
      <c r="AI268" s="196"/>
      <c r="AJ268" s="195"/>
      <c r="AK268" s="195"/>
      <c r="AL268" s="195"/>
      <c r="AM268" s="195"/>
      <c r="AN268" s="195"/>
      <c r="AO268" s="195"/>
      <c r="AP268" s="195"/>
      <c r="AQ268" s="195"/>
      <c r="AR268" s="195"/>
      <c r="AS268" s="195"/>
      <c r="AT268" s="195"/>
      <c r="AU268" s="195"/>
      <c r="AV268" s="195"/>
      <c r="AW268" s="195"/>
      <c r="AX268" s="191">
        <v>20</v>
      </c>
      <c r="AY268" s="215">
        <v>20</v>
      </c>
      <c r="AZ268" s="216" t="s">
        <v>765</v>
      </c>
      <c r="BA268" s="242" t="s">
        <v>842</v>
      </c>
    </row>
    <row r="269" spans="1:53" s="187" customFormat="1">
      <c r="A269" s="188" t="s">
        <v>827</v>
      </c>
      <c r="B269" s="240">
        <v>11361</v>
      </c>
      <c r="C269" s="240">
        <v>11361</v>
      </c>
      <c r="D269" s="223" t="s">
        <v>1294</v>
      </c>
      <c r="E269" s="191" t="s">
        <v>15</v>
      </c>
      <c r="F269" s="191" t="s">
        <v>59</v>
      </c>
      <c r="G269" s="192"/>
      <c r="H269" s="193">
        <f t="shared" si="35"/>
        <v>27.302000000000003</v>
      </c>
      <c r="I269" s="194">
        <v>7.4800000000000005E-2</v>
      </c>
      <c r="J269" s="194">
        <f t="shared" si="32"/>
        <v>2.2440000000000002</v>
      </c>
      <c r="K269" s="194">
        <f t="shared" si="36"/>
        <v>27.302000000000003</v>
      </c>
      <c r="L269" s="194">
        <v>7.4800000000000005E-2</v>
      </c>
      <c r="M269" s="194">
        <f t="shared" si="33"/>
        <v>2.2440000000000002</v>
      </c>
      <c r="N269" s="194">
        <f t="shared" si="34"/>
        <v>0</v>
      </c>
      <c r="O269" s="195"/>
      <c r="P269" s="195"/>
      <c r="Q269" s="195"/>
      <c r="R269" s="195"/>
      <c r="S269" s="195"/>
      <c r="T269" s="195"/>
      <c r="U269" s="195"/>
      <c r="V269" s="195"/>
      <c r="W269" s="195"/>
      <c r="X269" s="195"/>
      <c r="Y269" s="195"/>
      <c r="Z269" s="195"/>
      <c r="AA269" s="195"/>
      <c r="AB269" s="195"/>
      <c r="AC269" s="196"/>
      <c r="AD269" s="196"/>
      <c r="AE269" s="196"/>
      <c r="AF269" s="196"/>
      <c r="AG269" s="196"/>
      <c r="AH269" s="196"/>
      <c r="AI269" s="196"/>
      <c r="AJ269" s="195"/>
      <c r="AK269" s="195"/>
      <c r="AL269" s="195"/>
      <c r="AM269" s="195"/>
      <c r="AN269" s="195"/>
      <c r="AO269" s="195"/>
      <c r="AP269" s="195"/>
      <c r="AQ269" s="195"/>
      <c r="AR269" s="195"/>
      <c r="AS269" s="195"/>
      <c r="AT269" s="195"/>
      <c r="AU269" s="195"/>
      <c r="AV269" s="195"/>
      <c r="AW269" s="195"/>
      <c r="AX269" s="191" t="s">
        <v>482</v>
      </c>
      <c r="AY269" s="215" t="s">
        <v>482</v>
      </c>
      <c r="AZ269" s="216" t="s">
        <v>907</v>
      </c>
      <c r="BA269" s="235" t="s">
        <v>1122</v>
      </c>
    </row>
    <row r="270" spans="1:53" s="187" customFormat="1">
      <c r="A270" s="188" t="s">
        <v>827</v>
      </c>
      <c r="B270" s="240">
        <v>11382</v>
      </c>
      <c r="C270" s="240">
        <v>11382</v>
      </c>
      <c r="D270" s="283" t="s">
        <v>1295</v>
      </c>
      <c r="E270" s="191" t="s">
        <v>15</v>
      </c>
      <c r="F270" s="191" t="s">
        <v>59</v>
      </c>
      <c r="G270" s="191"/>
      <c r="H270" s="193">
        <f t="shared" si="35"/>
        <v>1.8615000000000002</v>
      </c>
      <c r="I270" s="194">
        <v>5.1000000000000004E-3</v>
      </c>
      <c r="J270" s="194">
        <f t="shared" si="32"/>
        <v>0.15300000000000002</v>
      </c>
      <c r="K270" s="194">
        <f t="shared" si="36"/>
        <v>1.8615000000000002</v>
      </c>
      <c r="L270" s="194">
        <v>5.1000000000000004E-3</v>
      </c>
      <c r="M270" s="194">
        <f t="shared" si="33"/>
        <v>0.15300000000000002</v>
      </c>
      <c r="N270" s="194">
        <f t="shared" si="34"/>
        <v>0</v>
      </c>
      <c r="O270" s="195"/>
      <c r="P270" s="195"/>
      <c r="Q270" s="195"/>
      <c r="R270" s="195"/>
      <c r="S270" s="195"/>
      <c r="T270" s="195"/>
      <c r="U270" s="195"/>
      <c r="V270" s="195"/>
      <c r="W270" s="195"/>
      <c r="X270" s="195"/>
      <c r="Y270" s="195"/>
      <c r="Z270" s="195"/>
      <c r="AA270" s="195"/>
      <c r="AB270" s="195"/>
      <c r="AC270" s="196"/>
      <c r="AD270" s="196"/>
      <c r="AE270" s="196"/>
      <c r="AF270" s="196"/>
      <c r="AG270" s="196"/>
      <c r="AH270" s="196"/>
      <c r="AI270" s="196"/>
      <c r="AJ270" s="195"/>
      <c r="AK270" s="195"/>
      <c r="AL270" s="195"/>
      <c r="AM270" s="195"/>
      <c r="AN270" s="195"/>
      <c r="AO270" s="195"/>
      <c r="AP270" s="195"/>
      <c r="AQ270" s="195"/>
      <c r="AR270" s="195"/>
      <c r="AS270" s="195"/>
      <c r="AT270" s="195"/>
      <c r="AU270" s="195"/>
      <c r="AV270" s="195"/>
      <c r="AW270" s="195"/>
      <c r="AX270" s="191">
        <v>20</v>
      </c>
      <c r="AY270" s="215">
        <v>20</v>
      </c>
      <c r="AZ270" s="216" t="s">
        <v>765</v>
      </c>
      <c r="BA270" s="242" t="s">
        <v>842</v>
      </c>
    </row>
    <row r="271" spans="1:53" s="187" customFormat="1">
      <c r="A271" s="188" t="s">
        <v>827</v>
      </c>
      <c r="B271" s="240">
        <v>11384</v>
      </c>
      <c r="C271" s="240">
        <v>11384</v>
      </c>
      <c r="D271" s="283" t="s">
        <v>1296</v>
      </c>
      <c r="E271" s="191" t="s">
        <v>597</v>
      </c>
      <c r="F271" s="191" t="s">
        <v>59</v>
      </c>
      <c r="G271" s="191"/>
      <c r="H271" s="193">
        <f t="shared" si="35"/>
        <v>7.4824999999999999</v>
      </c>
      <c r="I271" s="194">
        <v>2.0500000000000001E-2</v>
      </c>
      <c r="J271" s="194">
        <f t="shared" si="32"/>
        <v>0.61499999999999999</v>
      </c>
      <c r="K271" s="194">
        <f t="shared" si="36"/>
        <v>7.4824999999999999</v>
      </c>
      <c r="L271" s="194">
        <v>2.0500000000000001E-2</v>
      </c>
      <c r="M271" s="194">
        <f t="shared" si="33"/>
        <v>0.61499999999999999</v>
      </c>
      <c r="N271" s="194">
        <f t="shared" si="34"/>
        <v>0</v>
      </c>
      <c r="O271" s="195"/>
      <c r="P271" s="195"/>
      <c r="Q271" s="195"/>
      <c r="R271" s="195"/>
      <c r="S271" s="195"/>
      <c r="T271" s="195"/>
      <c r="U271" s="195"/>
      <c r="V271" s="195"/>
      <c r="W271" s="195"/>
      <c r="X271" s="195"/>
      <c r="Y271" s="195"/>
      <c r="Z271" s="195"/>
      <c r="AA271" s="195"/>
      <c r="AB271" s="195"/>
      <c r="AC271" s="196"/>
      <c r="AD271" s="196"/>
      <c r="AE271" s="196"/>
      <c r="AF271" s="196"/>
      <c r="AG271" s="196"/>
      <c r="AH271" s="196"/>
      <c r="AI271" s="196"/>
      <c r="AJ271" s="195"/>
      <c r="AK271" s="195"/>
      <c r="AL271" s="195"/>
      <c r="AM271" s="195"/>
      <c r="AN271" s="195"/>
      <c r="AO271" s="195"/>
      <c r="AP271" s="195"/>
      <c r="AQ271" s="195"/>
      <c r="AR271" s="195"/>
      <c r="AS271" s="195"/>
      <c r="AT271" s="195"/>
      <c r="AU271" s="195"/>
      <c r="AV271" s="195"/>
      <c r="AW271" s="195"/>
      <c r="AX271" s="191">
        <v>20</v>
      </c>
      <c r="AY271" s="215" t="s">
        <v>851</v>
      </c>
      <c r="AZ271" s="216" t="s">
        <v>835</v>
      </c>
      <c r="BA271" s="242" t="s">
        <v>833</v>
      </c>
    </row>
    <row r="272" spans="1:53" s="187" customFormat="1">
      <c r="A272" s="188" t="s">
        <v>827</v>
      </c>
      <c r="B272" s="219">
        <v>11436</v>
      </c>
      <c r="C272" s="219">
        <v>11436</v>
      </c>
      <c r="D272" s="190" t="s">
        <v>1297</v>
      </c>
      <c r="E272" s="191" t="s">
        <v>15</v>
      </c>
      <c r="F272" s="191" t="s">
        <v>60</v>
      </c>
      <c r="G272" s="191" t="s">
        <v>782</v>
      </c>
      <c r="H272" s="193">
        <f t="shared" si="35"/>
        <v>1.6424999999999998</v>
      </c>
      <c r="I272" s="199">
        <v>4.4999999999999997E-3</v>
      </c>
      <c r="J272" s="194">
        <f t="shared" si="32"/>
        <v>0.13499999999999998</v>
      </c>
      <c r="K272" s="194">
        <f t="shared" si="36"/>
        <v>1.6424999999999998</v>
      </c>
      <c r="L272" s="199">
        <v>4.4999999999999997E-3</v>
      </c>
      <c r="M272" s="194">
        <f t="shared" si="33"/>
        <v>0.13499999999999998</v>
      </c>
      <c r="N272" s="194">
        <f t="shared" si="34"/>
        <v>0</v>
      </c>
      <c r="O272" s="195"/>
      <c r="P272" s="195"/>
      <c r="Q272" s="195"/>
      <c r="R272" s="195"/>
      <c r="S272" s="195"/>
      <c r="T272" s="195"/>
      <c r="U272" s="195"/>
      <c r="V272" s="195"/>
      <c r="W272" s="195"/>
      <c r="X272" s="195"/>
      <c r="Y272" s="195"/>
      <c r="Z272" s="195"/>
      <c r="AA272" s="195"/>
      <c r="AB272" s="195"/>
      <c r="AC272" s="196"/>
      <c r="AD272" s="196"/>
      <c r="AE272" s="196"/>
      <c r="AF272" s="196"/>
      <c r="AG272" s="196"/>
      <c r="AH272" s="196"/>
      <c r="AI272" s="196"/>
      <c r="AJ272" s="195"/>
      <c r="AK272" s="195"/>
      <c r="AL272" s="195"/>
      <c r="AM272" s="195"/>
      <c r="AN272" s="195"/>
      <c r="AO272" s="195"/>
      <c r="AP272" s="195"/>
      <c r="AQ272" s="195"/>
      <c r="AR272" s="195"/>
      <c r="AS272" s="195"/>
      <c r="AT272" s="195"/>
      <c r="AU272" s="195"/>
      <c r="AV272" s="195"/>
      <c r="AW272" s="195"/>
      <c r="AX272" s="191">
        <v>20</v>
      </c>
      <c r="AY272" s="215">
        <v>20</v>
      </c>
      <c r="AZ272" s="227" t="s">
        <v>835</v>
      </c>
      <c r="BA272" s="190" t="s">
        <v>1298</v>
      </c>
    </row>
    <row r="273" spans="1:53" s="187" customFormat="1">
      <c r="A273" s="188" t="s">
        <v>827</v>
      </c>
      <c r="B273" s="213">
        <v>11451</v>
      </c>
      <c r="C273" s="213">
        <v>11451</v>
      </c>
      <c r="D273" s="223" t="s">
        <v>1299</v>
      </c>
      <c r="E273" s="191" t="s">
        <v>15</v>
      </c>
      <c r="F273" s="224" t="s">
        <v>59</v>
      </c>
      <c r="G273" s="224"/>
      <c r="H273" s="193">
        <f t="shared" si="35"/>
        <v>8.1760000000000002</v>
      </c>
      <c r="I273" s="232">
        <v>2.24E-2</v>
      </c>
      <c r="J273" s="233">
        <f t="shared" si="32"/>
        <v>0.67200000000000004</v>
      </c>
      <c r="K273" s="233">
        <f t="shared" si="36"/>
        <v>8.1760000000000002</v>
      </c>
      <c r="L273" s="232">
        <v>2.24E-2</v>
      </c>
      <c r="M273" s="194">
        <f t="shared" si="33"/>
        <v>0.67200000000000004</v>
      </c>
      <c r="N273" s="194">
        <f t="shared" si="34"/>
        <v>0</v>
      </c>
      <c r="O273" s="195"/>
      <c r="P273" s="195"/>
      <c r="Q273" s="195"/>
      <c r="R273" s="195"/>
      <c r="S273" s="195"/>
      <c r="T273" s="195"/>
      <c r="U273" s="195"/>
      <c r="V273" s="195"/>
      <c r="W273" s="195"/>
      <c r="X273" s="195"/>
      <c r="Y273" s="195"/>
      <c r="Z273" s="195"/>
      <c r="AA273" s="195"/>
      <c r="AB273" s="195"/>
      <c r="AC273" s="196"/>
      <c r="AD273" s="196"/>
      <c r="AE273" s="196"/>
      <c r="AF273" s="196"/>
      <c r="AG273" s="196"/>
      <c r="AH273" s="196"/>
      <c r="AI273" s="196"/>
      <c r="AJ273" s="195"/>
      <c r="AK273" s="195"/>
      <c r="AL273" s="195"/>
      <c r="AM273" s="195"/>
      <c r="AN273" s="195"/>
      <c r="AO273" s="195"/>
      <c r="AP273" s="195"/>
      <c r="AQ273" s="195"/>
      <c r="AR273" s="195"/>
      <c r="AS273" s="195"/>
      <c r="AT273" s="195"/>
      <c r="AU273" s="195"/>
      <c r="AV273" s="195"/>
      <c r="AW273" s="195"/>
      <c r="AX273" s="241">
        <v>20</v>
      </c>
      <c r="AY273" s="241">
        <v>20</v>
      </c>
      <c r="AZ273" s="216" t="s">
        <v>765</v>
      </c>
      <c r="BA273" s="223" t="s">
        <v>1072</v>
      </c>
    </row>
    <row r="274" spans="1:53" s="187" customFormat="1">
      <c r="A274" s="188" t="s">
        <v>827</v>
      </c>
      <c r="B274" s="240">
        <v>11470</v>
      </c>
      <c r="C274" s="240">
        <v>11470</v>
      </c>
      <c r="D274" s="214" t="s">
        <v>1300</v>
      </c>
      <c r="E274" s="191" t="s">
        <v>15</v>
      </c>
      <c r="F274" s="224" t="s">
        <v>1181</v>
      </c>
      <c r="G274" s="191" t="s">
        <v>782</v>
      </c>
      <c r="H274" s="193">
        <f t="shared" si="35"/>
        <v>0</v>
      </c>
      <c r="I274" s="199">
        <v>0</v>
      </c>
      <c r="J274" s="194">
        <f t="shared" si="32"/>
        <v>0</v>
      </c>
      <c r="K274" s="194">
        <f t="shared" si="36"/>
        <v>2.0805000000000002</v>
      </c>
      <c r="L274" s="199">
        <v>5.7000000000000002E-3</v>
      </c>
      <c r="M274" s="194">
        <f t="shared" si="33"/>
        <v>0.17100000000000001</v>
      </c>
      <c r="N274" s="194">
        <f t="shared" si="34"/>
        <v>5.7000000000000002E-3</v>
      </c>
      <c r="O274" s="195"/>
      <c r="P274" s="195"/>
      <c r="Q274" s="195"/>
      <c r="R274" s="195"/>
      <c r="S274" s="195"/>
      <c r="T274" s="195"/>
      <c r="U274" s="195"/>
      <c r="V274" s="195"/>
      <c r="W274" s="195"/>
      <c r="X274" s="195"/>
      <c r="Y274" s="195"/>
      <c r="Z274" s="195"/>
      <c r="AA274" s="195"/>
      <c r="AB274" s="195"/>
      <c r="AC274" s="196"/>
      <c r="AD274" s="196"/>
      <c r="AE274" s="196"/>
      <c r="AF274" s="196"/>
      <c r="AG274" s="196"/>
      <c r="AH274" s="196"/>
      <c r="AI274" s="196"/>
      <c r="AJ274" s="195"/>
      <c r="AK274" s="195"/>
      <c r="AL274" s="195"/>
      <c r="AM274" s="195"/>
      <c r="AN274" s="195"/>
      <c r="AO274" s="195"/>
      <c r="AP274" s="195"/>
      <c r="AQ274" s="195"/>
      <c r="AR274" s="195"/>
      <c r="AS274" s="195"/>
      <c r="AT274" s="195"/>
      <c r="AU274" s="195"/>
      <c r="AV274" s="195"/>
      <c r="AW274" s="195"/>
      <c r="AX274" s="224" t="s">
        <v>1301</v>
      </c>
      <c r="AY274" s="225" t="s">
        <v>851</v>
      </c>
      <c r="AZ274" s="216" t="s">
        <v>852</v>
      </c>
      <c r="BA274" s="214" t="s">
        <v>842</v>
      </c>
    </row>
    <row r="275" spans="1:53" s="187" customFormat="1">
      <c r="A275" s="188" t="s">
        <v>827</v>
      </c>
      <c r="B275" s="240">
        <v>11538</v>
      </c>
      <c r="C275" s="240">
        <v>11538</v>
      </c>
      <c r="D275" s="283" t="s">
        <v>1302</v>
      </c>
      <c r="E275" s="191" t="s">
        <v>15</v>
      </c>
      <c r="F275" s="224" t="s">
        <v>59</v>
      </c>
      <c r="G275" s="224"/>
      <c r="H275" s="193">
        <f t="shared" si="35"/>
        <v>3.7230000000000003</v>
      </c>
      <c r="I275" s="194">
        <v>1.0200000000000001E-2</v>
      </c>
      <c r="J275" s="194">
        <f t="shared" si="32"/>
        <v>0.30600000000000005</v>
      </c>
      <c r="K275" s="194">
        <f t="shared" si="36"/>
        <v>23.797999999999998</v>
      </c>
      <c r="L275" s="194">
        <v>6.5199999999999994E-2</v>
      </c>
      <c r="M275" s="194">
        <f t="shared" si="33"/>
        <v>1.9559999999999997</v>
      </c>
      <c r="N275" s="194">
        <f t="shared" si="34"/>
        <v>5.4999999999999993E-2</v>
      </c>
      <c r="O275" s="195"/>
      <c r="P275" s="195"/>
      <c r="Q275" s="195"/>
      <c r="R275" s="195"/>
      <c r="S275" s="195"/>
      <c r="T275" s="195"/>
      <c r="U275" s="195"/>
      <c r="V275" s="195"/>
      <c r="W275" s="195"/>
      <c r="X275" s="195"/>
      <c r="Y275" s="195"/>
      <c r="Z275" s="195"/>
      <c r="AA275" s="195"/>
      <c r="AB275" s="195"/>
      <c r="AC275" s="196"/>
      <c r="AD275" s="196"/>
      <c r="AE275" s="196"/>
      <c r="AF275" s="196"/>
      <c r="AG275" s="196"/>
      <c r="AH275" s="196"/>
      <c r="AI275" s="196"/>
      <c r="AJ275" s="195"/>
      <c r="AK275" s="195"/>
      <c r="AL275" s="195"/>
      <c r="AM275" s="195"/>
      <c r="AN275" s="195"/>
      <c r="AO275" s="195"/>
      <c r="AP275" s="195"/>
      <c r="AQ275" s="195"/>
      <c r="AR275" s="195"/>
      <c r="AS275" s="195"/>
      <c r="AT275" s="195"/>
      <c r="AU275" s="195"/>
      <c r="AV275" s="195"/>
      <c r="AW275" s="195"/>
      <c r="AX275" s="224" t="s">
        <v>1303</v>
      </c>
      <c r="AY275" s="225" t="s">
        <v>482</v>
      </c>
      <c r="AZ275" s="216" t="s">
        <v>907</v>
      </c>
      <c r="BA275" s="214" t="s">
        <v>830</v>
      </c>
    </row>
    <row r="276" spans="1:53" s="187" customFormat="1">
      <c r="A276" s="188" t="s">
        <v>827</v>
      </c>
      <c r="B276" s="240">
        <v>11544</v>
      </c>
      <c r="C276" s="240">
        <v>11544</v>
      </c>
      <c r="D276" s="283" t="s">
        <v>1304</v>
      </c>
      <c r="E276" s="191" t="s">
        <v>15</v>
      </c>
      <c r="F276" s="224" t="s">
        <v>59</v>
      </c>
      <c r="G276" s="191" t="s">
        <v>782</v>
      </c>
      <c r="H276" s="193">
        <f t="shared" si="35"/>
        <v>21.790500000000002</v>
      </c>
      <c r="I276" s="194">
        <v>5.9700000000000003E-2</v>
      </c>
      <c r="J276" s="194">
        <v>0</v>
      </c>
      <c r="K276" s="194">
        <f t="shared" si="36"/>
        <v>21.790500000000002</v>
      </c>
      <c r="L276" s="194">
        <v>5.9700000000000003E-2</v>
      </c>
      <c r="M276" s="194">
        <f t="shared" si="33"/>
        <v>1.7910000000000001</v>
      </c>
      <c r="N276" s="194">
        <f t="shared" si="34"/>
        <v>0</v>
      </c>
      <c r="O276" s="195"/>
      <c r="P276" s="195"/>
      <c r="Q276" s="195"/>
      <c r="R276" s="195"/>
      <c r="S276" s="195"/>
      <c r="T276" s="195"/>
      <c r="U276" s="195"/>
      <c r="V276" s="195"/>
      <c r="W276" s="195"/>
      <c r="X276" s="195"/>
      <c r="Y276" s="195"/>
      <c r="Z276" s="195"/>
      <c r="AA276" s="195"/>
      <c r="AB276" s="195"/>
      <c r="AC276" s="196"/>
      <c r="AD276" s="196"/>
      <c r="AE276" s="196"/>
      <c r="AF276" s="196"/>
      <c r="AG276" s="196"/>
      <c r="AH276" s="196"/>
      <c r="AI276" s="196"/>
      <c r="AJ276" s="195"/>
      <c r="AK276" s="195"/>
      <c r="AL276" s="195"/>
      <c r="AM276" s="195"/>
      <c r="AN276" s="195"/>
      <c r="AO276" s="195"/>
      <c r="AP276" s="195"/>
      <c r="AQ276" s="195"/>
      <c r="AR276" s="195"/>
      <c r="AS276" s="195"/>
      <c r="AT276" s="195"/>
      <c r="AU276" s="195"/>
      <c r="AV276" s="195"/>
      <c r="AW276" s="195"/>
      <c r="AX276" s="224">
        <v>20</v>
      </c>
      <c r="AY276" s="225" t="s">
        <v>851</v>
      </c>
      <c r="AZ276" s="216" t="s">
        <v>852</v>
      </c>
      <c r="BA276" s="289" t="s">
        <v>842</v>
      </c>
    </row>
    <row r="277" spans="1:53" s="187" customFormat="1">
      <c r="A277" s="188" t="s">
        <v>827</v>
      </c>
      <c r="B277" s="219">
        <v>11671</v>
      </c>
      <c r="C277" s="219">
        <v>11671</v>
      </c>
      <c r="D277" s="227" t="s">
        <v>1305</v>
      </c>
      <c r="E277" s="191" t="s">
        <v>155</v>
      </c>
      <c r="F277" s="224" t="s">
        <v>58</v>
      </c>
      <c r="G277" s="191"/>
      <c r="H277" s="193">
        <f t="shared" si="35"/>
        <v>11.460999999999999</v>
      </c>
      <c r="I277" s="194">
        <v>3.1399999999999997E-2</v>
      </c>
      <c r="J277" s="194">
        <f>I277*30</f>
        <v>0.94199999999999995</v>
      </c>
      <c r="K277" s="194">
        <f t="shared" si="36"/>
        <v>11.460999999999999</v>
      </c>
      <c r="L277" s="194">
        <v>3.1399999999999997E-2</v>
      </c>
      <c r="M277" s="194">
        <f t="shared" si="33"/>
        <v>0.94199999999999995</v>
      </c>
      <c r="N277" s="194">
        <f t="shared" si="34"/>
        <v>0</v>
      </c>
      <c r="O277" s="195"/>
      <c r="P277" s="195"/>
      <c r="Q277" s="195"/>
      <c r="R277" s="195"/>
      <c r="S277" s="195"/>
      <c r="T277" s="195"/>
      <c r="U277" s="195"/>
      <c r="V277" s="195"/>
      <c r="W277" s="195"/>
      <c r="X277" s="195"/>
      <c r="Y277" s="195"/>
      <c r="Z277" s="195"/>
      <c r="AA277" s="195"/>
      <c r="AB277" s="195"/>
      <c r="AC277" s="196"/>
      <c r="AD277" s="196"/>
      <c r="AE277" s="196"/>
      <c r="AF277" s="196"/>
      <c r="AG277" s="196"/>
      <c r="AH277" s="196"/>
      <c r="AI277" s="196"/>
      <c r="AJ277" s="195"/>
      <c r="AK277" s="195"/>
      <c r="AL277" s="195"/>
      <c r="AM277" s="195"/>
      <c r="AN277" s="195"/>
      <c r="AO277" s="195"/>
      <c r="AP277" s="195"/>
      <c r="AQ277" s="195"/>
      <c r="AR277" s="195"/>
      <c r="AS277" s="195"/>
      <c r="AT277" s="195"/>
      <c r="AU277" s="195"/>
      <c r="AV277" s="195"/>
      <c r="AW277" s="195"/>
      <c r="AX277" s="191">
        <v>10</v>
      </c>
      <c r="AY277" s="215">
        <v>20</v>
      </c>
      <c r="AZ277" s="207" t="s">
        <v>835</v>
      </c>
      <c r="BA277" s="280" t="s">
        <v>1172</v>
      </c>
    </row>
    <row r="278" spans="1:53" s="187" customFormat="1">
      <c r="A278" s="188" t="s">
        <v>827</v>
      </c>
      <c r="B278" s="189">
        <v>11747</v>
      </c>
      <c r="C278" s="189">
        <v>11747</v>
      </c>
      <c r="D278" s="188" t="s">
        <v>1306</v>
      </c>
      <c r="E278" s="191" t="s">
        <v>15</v>
      </c>
      <c r="F278" s="224" t="s">
        <v>60</v>
      </c>
      <c r="G278" s="191"/>
      <c r="H278" s="193">
        <f t="shared" si="35"/>
        <v>1569.5</v>
      </c>
      <c r="I278" s="232">
        <v>4.3</v>
      </c>
      <c r="J278" s="233">
        <f>I278*30</f>
        <v>129</v>
      </c>
      <c r="K278" s="233">
        <f t="shared" si="36"/>
        <v>1569.5</v>
      </c>
      <c r="L278" s="232">
        <v>4.3</v>
      </c>
      <c r="M278" s="194">
        <f t="shared" si="33"/>
        <v>129</v>
      </c>
      <c r="N278" s="194">
        <f t="shared" si="34"/>
        <v>0</v>
      </c>
      <c r="O278" s="195"/>
      <c r="P278" s="195"/>
      <c r="Q278" s="195"/>
      <c r="R278" s="195"/>
      <c r="S278" s="195"/>
      <c r="T278" s="195"/>
      <c r="U278" s="195"/>
      <c r="V278" s="195"/>
      <c r="W278" s="195"/>
      <c r="X278" s="195"/>
      <c r="Y278" s="195"/>
      <c r="Z278" s="195"/>
      <c r="AA278" s="195"/>
      <c r="AB278" s="195"/>
      <c r="AC278" s="196"/>
      <c r="AD278" s="196"/>
      <c r="AE278" s="196"/>
      <c r="AF278" s="196"/>
      <c r="AG278" s="196"/>
      <c r="AH278" s="196"/>
      <c r="AI278" s="196"/>
      <c r="AJ278" s="195"/>
      <c r="AK278" s="195"/>
      <c r="AL278" s="195"/>
      <c r="AM278" s="195"/>
      <c r="AN278" s="195"/>
      <c r="AO278" s="195"/>
      <c r="AP278" s="195"/>
      <c r="AQ278" s="195"/>
      <c r="AR278" s="195"/>
      <c r="AS278" s="195"/>
      <c r="AT278" s="195"/>
      <c r="AU278" s="195"/>
      <c r="AV278" s="195"/>
      <c r="AW278" s="195"/>
      <c r="AX278" s="226" t="s">
        <v>515</v>
      </c>
      <c r="AY278" s="226" t="s">
        <v>515</v>
      </c>
      <c r="AZ278" s="207" t="s">
        <v>1307</v>
      </c>
      <c r="BA278" s="188" t="s">
        <v>1308</v>
      </c>
    </row>
    <row r="279" spans="1:53" s="187" customFormat="1">
      <c r="A279" s="188" t="s">
        <v>827</v>
      </c>
      <c r="B279" s="189">
        <v>12017</v>
      </c>
      <c r="C279" s="189">
        <v>12017</v>
      </c>
      <c r="D279" s="188" t="s">
        <v>1309</v>
      </c>
      <c r="E279" s="191" t="s">
        <v>15</v>
      </c>
      <c r="F279" s="224" t="s">
        <v>59</v>
      </c>
      <c r="G279" s="191"/>
      <c r="H279" s="193">
        <v>3.1389999999999998</v>
      </c>
      <c r="I279" s="219">
        <v>8.6E-3</v>
      </c>
      <c r="J279" s="194">
        <v>0.25800000000000001</v>
      </c>
      <c r="K279" s="194">
        <v>3.1389999999999998</v>
      </c>
      <c r="L279" s="219">
        <v>8.6E-3</v>
      </c>
      <c r="M279" s="194">
        <f t="shared" si="33"/>
        <v>0.25800000000000001</v>
      </c>
      <c r="N279" s="194">
        <f t="shared" si="34"/>
        <v>0</v>
      </c>
      <c r="O279" s="195"/>
      <c r="P279" s="195"/>
      <c r="Q279" s="195"/>
      <c r="R279" s="195"/>
      <c r="S279" s="195"/>
      <c r="T279" s="195"/>
      <c r="U279" s="195"/>
      <c r="V279" s="195"/>
      <c r="W279" s="195"/>
      <c r="X279" s="195"/>
      <c r="Y279" s="195"/>
      <c r="Z279" s="195"/>
      <c r="AA279" s="195"/>
      <c r="AB279" s="195"/>
      <c r="AC279" s="196"/>
      <c r="AD279" s="196"/>
      <c r="AE279" s="196"/>
      <c r="AF279" s="196"/>
      <c r="AG279" s="196"/>
      <c r="AH279" s="196"/>
      <c r="AI279" s="196"/>
      <c r="AJ279" s="195"/>
      <c r="AK279" s="195"/>
      <c r="AL279" s="195"/>
      <c r="AM279" s="195"/>
      <c r="AN279" s="195"/>
      <c r="AO279" s="195"/>
      <c r="AP279" s="195"/>
      <c r="AQ279" s="195"/>
      <c r="AR279" s="195"/>
      <c r="AS279" s="195"/>
      <c r="AT279" s="195"/>
      <c r="AU279" s="195"/>
      <c r="AV279" s="195"/>
      <c r="AW279" s="195"/>
      <c r="AX279" s="226" t="s">
        <v>515</v>
      </c>
      <c r="AY279" s="226" t="s">
        <v>515</v>
      </c>
      <c r="AZ279" s="207" t="s">
        <v>1310</v>
      </c>
      <c r="BA279" s="188" t="s">
        <v>1311</v>
      </c>
    </row>
    <row r="280" spans="1:53" s="187" customFormat="1" ht="37.5">
      <c r="A280" s="188" t="s">
        <v>827</v>
      </c>
      <c r="B280" s="238">
        <v>12061</v>
      </c>
      <c r="C280" s="238">
        <v>12061</v>
      </c>
      <c r="D280" s="188" t="s">
        <v>1312</v>
      </c>
      <c r="E280" s="191" t="s">
        <v>15</v>
      </c>
      <c r="F280" s="224" t="s">
        <v>59</v>
      </c>
      <c r="G280" s="192"/>
      <c r="H280" s="193">
        <f t="shared" ref="H280:H333" si="37">I280*365</f>
        <v>29.784000000000002</v>
      </c>
      <c r="I280" s="219">
        <v>8.1600000000000006E-2</v>
      </c>
      <c r="J280" s="194">
        <f t="shared" ref="J280:J311" si="38">I280*30</f>
        <v>2.4480000000000004</v>
      </c>
      <c r="K280" s="194">
        <f t="shared" ref="K280:K333" si="39">L280*365</f>
        <v>40.15</v>
      </c>
      <c r="L280" s="219">
        <v>0.11</v>
      </c>
      <c r="M280" s="194">
        <f t="shared" si="33"/>
        <v>3.3</v>
      </c>
      <c r="N280" s="194">
        <f t="shared" si="34"/>
        <v>2.8399999999999995E-2</v>
      </c>
      <c r="O280" s="195"/>
      <c r="P280" s="195"/>
      <c r="Q280" s="195"/>
      <c r="R280" s="195"/>
      <c r="S280" s="195"/>
      <c r="T280" s="195"/>
      <c r="U280" s="195"/>
      <c r="V280" s="195"/>
      <c r="W280" s="195"/>
      <c r="X280" s="195"/>
      <c r="Y280" s="195"/>
      <c r="Z280" s="195"/>
      <c r="AA280" s="195"/>
      <c r="AB280" s="195"/>
      <c r="AC280" s="196"/>
      <c r="AD280" s="196"/>
      <c r="AE280" s="196"/>
      <c r="AF280" s="196"/>
      <c r="AG280" s="196"/>
      <c r="AH280" s="196"/>
      <c r="AI280" s="196"/>
      <c r="AJ280" s="195"/>
      <c r="AK280" s="195"/>
      <c r="AL280" s="195"/>
      <c r="AM280" s="195"/>
      <c r="AN280" s="195"/>
      <c r="AO280" s="195"/>
      <c r="AP280" s="195"/>
      <c r="AQ280" s="195"/>
      <c r="AR280" s="195"/>
      <c r="AS280" s="195"/>
      <c r="AT280" s="195"/>
      <c r="AU280" s="195"/>
      <c r="AV280" s="195"/>
      <c r="AW280" s="195"/>
      <c r="AX280" s="212">
        <v>20</v>
      </c>
      <c r="AY280" s="276">
        <v>20</v>
      </c>
      <c r="AZ280" s="252" t="s">
        <v>1313</v>
      </c>
      <c r="BA280" s="239" t="s">
        <v>833</v>
      </c>
    </row>
    <row r="281" spans="1:53" s="187" customFormat="1">
      <c r="A281" s="188" t="s">
        <v>827</v>
      </c>
      <c r="B281" s="238">
        <v>12169</v>
      </c>
      <c r="C281" s="238">
        <v>12169</v>
      </c>
      <c r="D281" s="188" t="s">
        <v>1314</v>
      </c>
      <c r="E281" s="191" t="s">
        <v>1315</v>
      </c>
      <c r="F281" s="224" t="s">
        <v>58</v>
      </c>
      <c r="G281" s="212"/>
      <c r="H281" s="193">
        <f t="shared" si="37"/>
        <v>2.8835000000000002</v>
      </c>
      <c r="I281" s="232">
        <v>7.9000000000000008E-3</v>
      </c>
      <c r="J281" s="233">
        <f t="shared" si="38"/>
        <v>0.23700000000000002</v>
      </c>
      <c r="K281" s="233">
        <f t="shared" si="39"/>
        <v>2.8835000000000002</v>
      </c>
      <c r="L281" s="232">
        <v>7.9000000000000008E-3</v>
      </c>
      <c r="M281" s="194">
        <f t="shared" si="33"/>
        <v>0.23700000000000002</v>
      </c>
      <c r="N281" s="194">
        <f t="shared" si="34"/>
        <v>0</v>
      </c>
      <c r="O281" s="195"/>
      <c r="P281" s="195"/>
      <c r="Q281" s="195"/>
      <c r="R281" s="195"/>
      <c r="S281" s="195"/>
      <c r="T281" s="195"/>
      <c r="U281" s="195"/>
      <c r="V281" s="195"/>
      <c r="W281" s="195"/>
      <c r="X281" s="195"/>
      <c r="Y281" s="195"/>
      <c r="Z281" s="195"/>
      <c r="AA281" s="195"/>
      <c r="AB281" s="195"/>
      <c r="AC281" s="196"/>
      <c r="AD281" s="196"/>
      <c r="AE281" s="196"/>
      <c r="AF281" s="196"/>
      <c r="AG281" s="196"/>
      <c r="AH281" s="196"/>
      <c r="AI281" s="196"/>
      <c r="AJ281" s="195"/>
      <c r="AK281" s="195"/>
      <c r="AL281" s="195"/>
      <c r="AM281" s="195"/>
      <c r="AN281" s="195"/>
      <c r="AO281" s="195"/>
      <c r="AP281" s="195"/>
      <c r="AQ281" s="195"/>
      <c r="AR281" s="195"/>
      <c r="AS281" s="195"/>
      <c r="AT281" s="195"/>
      <c r="AU281" s="195"/>
      <c r="AV281" s="195"/>
      <c r="AW281" s="195"/>
      <c r="AX281" s="263">
        <v>20</v>
      </c>
      <c r="AY281" s="263">
        <v>20</v>
      </c>
      <c r="AZ281" s="252" t="s">
        <v>765</v>
      </c>
      <c r="BA281" s="239" t="s">
        <v>833</v>
      </c>
    </row>
    <row r="282" spans="1:53" s="187" customFormat="1">
      <c r="A282" s="188" t="s">
        <v>827</v>
      </c>
      <c r="B282" s="257">
        <v>12217</v>
      </c>
      <c r="C282" s="257">
        <v>12217</v>
      </c>
      <c r="D282" s="227" t="s">
        <v>1316</v>
      </c>
      <c r="E282" s="191" t="s">
        <v>15</v>
      </c>
      <c r="F282" s="224" t="s">
        <v>56</v>
      </c>
      <c r="G282" s="191" t="s">
        <v>782</v>
      </c>
      <c r="H282" s="193">
        <f t="shared" si="37"/>
        <v>13.833500000000001</v>
      </c>
      <c r="I282" s="194">
        <v>3.7900000000000003E-2</v>
      </c>
      <c r="J282" s="194">
        <f t="shared" si="38"/>
        <v>1.137</v>
      </c>
      <c r="K282" s="194">
        <f t="shared" si="39"/>
        <v>13.833500000000001</v>
      </c>
      <c r="L282" s="194">
        <v>3.7900000000000003E-2</v>
      </c>
      <c r="M282" s="194">
        <f t="shared" si="33"/>
        <v>1.137</v>
      </c>
      <c r="N282" s="194">
        <f t="shared" si="34"/>
        <v>0</v>
      </c>
      <c r="O282" s="195"/>
      <c r="P282" s="195"/>
      <c r="Q282" s="195"/>
      <c r="R282" s="195"/>
      <c r="S282" s="195"/>
      <c r="T282" s="195"/>
      <c r="U282" s="195"/>
      <c r="V282" s="195"/>
      <c r="W282" s="195"/>
      <c r="X282" s="195"/>
      <c r="Y282" s="195"/>
      <c r="Z282" s="195"/>
      <c r="AA282" s="195"/>
      <c r="AB282" s="195"/>
      <c r="AC282" s="196"/>
      <c r="AD282" s="196"/>
      <c r="AE282" s="196"/>
      <c r="AF282" s="196"/>
      <c r="AG282" s="196"/>
      <c r="AH282" s="196"/>
      <c r="AI282" s="196"/>
      <c r="AJ282" s="195"/>
      <c r="AK282" s="195"/>
      <c r="AL282" s="195"/>
      <c r="AM282" s="195"/>
      <c r="AN282" s="195"/>
      <c r="AO282" s="195"/>
      <c r="AP282" s="195"/>
      <c r="AQ282" s="195"/>
      <c r="AR282" s="195"/>
      <c r="AS282" s="195"/>
      <c r="AT282" s="195"/>
      <c r="AU282" s="195"/>
      <c r="AV282" s="195"/>
      <c r="AW282" s="195"/>
      <c r="AX282" s="212">
        <v>20</v>
      </c>
      <c r="AY282" s="276">
        <v>20</v>
      </c>
      <c r="AZ282" s="288" t="s">
        <v>835</v>
      </c>
      <c r="BA282" s="290" t="s">
        <v>830</v>
      </c>
    </row>
    <row r="283" spans="1:53" s="187" customFormat="1">
      <c r="A283" s="188" t="s">
        <v>827</v>
      </c>
      <c r="B283" s="238">
        <v>12232</v>
      </c>
      <c r="C283" s="238">
        <v>12232</v>
      </c>
      <c r="D283" s="188" t="s">
        <v>1317</v>
      </c>
      <c r="E283" s="191" t="s">
        <v>15</v>
      </c>
      <c r="F283" s="224" t="s">
        <v>60</v>
      </c>
      <c r="G283" s="212"/>
      <c r="H283" s="193">
        <f t="shared" si="37"/>
        <v>456.57849999999996</v>
      </c>
      <c r="I283" s="219">
        <v>1.2508999999999999</v>
      </c>
      <c r="J283" s="194">
        <f t="shared" si="38"/>
        <v>37.526999999999994</v>
      </c>
      <c r="K283" s="194">
        <f t="shared" si="39"/>
        <v>638.75</v>
      </c>
      <c r="L283" s="219">
        <v>1.75</v>
      </c>
      <c r="M283" s="194">
        <f t="shared" si="33"/>
        <v>52.5</v>
      </c>
      <c r="N283" s="194">
        <f t="shared" si="34"/>
        <v>0.4991000000000001</v>
      </c>
      <c r="O283" s="195"/>
      <c r="P283" s="195"/>
      <c r="Q283" s="195"/>
      <c r="R283" s="195"/>
      <c r="S283" s="195"/>
      <c r="T283" s="195"/>
      <c r="U283" s="195"/>
      <c r="V283" s="195"/>
      <c r="W283" s="195"/>
      <c r="X283" s="195"/>
      <c r="Y283" s="195"/>
      <c r="Z283" s="195"/>
      <c r="AA283" s="195"/>
      <c r="AB283" s="195"/>
      <c r="AC283" s="196"/>
      <c r="AD283" s="196"/>
      <c r="AE283" s="196"/>
      <c r="AF283" s="196"/>
      <c r="AG283" s="196"/>
      <c r="AH283" s="196"/>
      <c r="AI283" s="196"/>
      <c r="AJ283" s="195"/>
      <c r="AK283" s="195"/>
      <c r="AL283" s="195"/>
      <c r="AM283" s="195"/>
      <c r="AN283" s="195"/>
      <c r="AO283" s="195"/>
      <c r="AP283" s="195"/>
      <c r="AQ283" s="195"/>
      <c r="AR283" s="195"/>
      <c r="AS283" s="195"/>
      <c r="AT283" s="195"/>
      <c r="AU283" s="195"/>
      <c r="AV283" s="195"/>
      <c r="AW283" s="195"/>
      <c r="AX283" s="212" t="s">
        <v>482</v>
      </c>
      <c r="AY283" s="276" t="s">
        <v>482</v>
      </c>
      <c r="AZ283" s="252" t="s">
        <v>1227</v>
      </c>
      <c r="BA283" s="253" t="s">
        <v>857</v>
      </c>
    </row>
    <row r="284" spans="1:53" s="187" customFormat="1">
      <c r="A284" s="188" t="s">
        <v>827</v>
      </c>
      <c r="B284" s="189">
        <v>12458</v>
      </c>
      <c r="C284" s="189">
        <v>12458</v>
      </c>
      <c r="D284" s="188" t="s">
        <v>1318</v>
      </c>
      <c r="E284" s="191" t="s">
        <v>15</v>
      </c>
      <c r="F284" s="224" t="s">
        <v>59</v>
      </c>
      <c r="G284" s="191"/>
      <c r="H284" s="193">
        <f t="shared" si="37"/>
        <v>0</v>
      </c>
      <c r="I284" s="199">
        <v>0</v>
      </c>
      <c r="J284" s="194">
        <f t="shared" si="38"/>
        <v>0</v>
      </c>
      <c r="K284" s="194">
        <f t="shared" si="39"/>
        <v>4.4165000000000001</v>
      </c>
      <c r="L284" s="199">
        <v>1.21E-2</v>
      </c>
      <c r="M284" s="194">
        <f t="shared" si="33"/>
        <v>0.36299999999999999</v>
      </c>
      <c r="N284" s="194">
        <f t="shared" si="34"/>
        <v>1.21E-2</v>
      </c>
      <c r="O284" s="195"/>
      <c r="P284" s="195"/>
      <c r="Q284" s="195"/>
      <c r="R284" s="195"/>
      <c r="S284" s="195"/>
      <c r="T284" s="195"/>
      <c r="U284" s="195"/>
      <c r="V284" s="195"/>
      <c r="W284" s="195"/>
      <c r="X284" s="195"/>
      <c r="Y284" s="195"/>
      <c r="Z284" s="195"/>
      <c r="AA284" s="195"/>
      <c r="AB284" s="195"/>
      <c r="AC284" s="196"/>
      <c r="AD284" s="196"/>
      <c r="AE284" s="196"/>
      <c r="AF284" s="196"/>
      <c r="AG284" s="196"/>
      <c r="AH284" s="196"/>
      <c r="AI284" s="196"/>
      <c r="AJ284" s="195"/>
      <c r="AK284" s="195"/>
      <c r="AL284" s="195"/>
      <c r="AM284" s="195"/>
      <c r="AN284" s="195"/>
      <c r="AO284" s="195"/>
      <c r="AP284" s="195"/>
      <c r="AQ284" s="195"/>
      <c r="AR284" s="195"/>
      <c r="AS284" s="195"/>
      <c r="AT284" s="195"/>
      <c r="AU284" s="195"/>
      <c r="AV284" s="195"/>
      <c r="AW284" s="195"/>
      <c r="AX284" s="191" t="s">
        <v>482</v>
      </c>
      <c r="AY284" s="215" t="s">
        <v>482</v>
      </c>
      <c r="AZ284" s="207" t="s">
        <v>849</v>
      </c>
      <c r="BA284" s="229" t="s">
        <v>1122</v>
      </c>
    </row>
    <row r="285" spans="1:53" s="187" customFormat="1" ht="37.5">
      <c r="A285" s="188" t="s">
        <v>827</v>
      </c>
      <c r="B285" s="189">
        <v>12462</v>
      </c>
      <c r="C285" s="189">
        <v>12462</v>
      </c>
      <c r="D285" s="188" t="s">
        <v>1319</v>
      </c>
      <c r="E285" s="191" t="s">
        <v>15</v>
      </c>
      <c r="F285" s="224" t="s">
        <v>58</v>
      </c>
      <c r="G285" s="191"/>
      <c r="H285" s="193">
        <f t="shared" si="37"/>
        <v>14.9285</v>
      </c>
      <c r="I285" s="219">
        <v>4.0899999999999999E-2</v>
      </c>
      <c r="J285" s="194">
        <f t="shared" si="38"/>
        <v>1.2269999999999999</v>
      </c>
      <c r="K285" s="194">
        <f t="shared" si="39"/>
        <v>21.826999999999998</v>
      </c>
      <c r="L285" s="219">
        <v>5.9799999999999999E-2</v>
      </c>
      <c r="M285" s="194">
        <f t="shared" si="33"/>
        <v>1.794</v>
      </c>
      <c r="N285" s="194">
        <f t="shared" si="34"/>
        <v>1.89E-2</v>
      </c>
      <c r="O285" s="195"/>
      <c r="P285" s="195"/>
      <c r="Q285" s="195"/>
      <c r="R285" s="195"/>
      <c r="S285" s="195"/>
      <c r="T285" s="195"/>
      <c r="U285" s="195"/>
      <c r="V285" s="195"/>
      <c r="W285" s="195"/>
      <c r="X285" s="195"/>
      <c r="Y285" s="195"/>
      <c r="Z285" s="195"/>
      <c r="AA285" s="195"/>
      <c r="AB285" s="195"/>
      <c r="AC285" s="196"/>
      <c r="AD285" s="196"/>
      <c r="AE285" s="196"/>
      <c r="AF285" s="196"/>
      <c r="AG285" s="196"/>
      <c r="AH285" s="196"/>
      <c r="AI285" s="196"/>
      <c r="AJ285" s="195"/>
      <c r="AK285" s="195"/>
      <c r="AL285" s="195"/>
      <c r="AM285" s="195"/>
      <c r="AN285" s="195"/>
      <c r="AO285" s="195"/>
      <c r="AP285" s="195"/>
      <c r="AQ285" s="195"/>
      <c r="AR285" s="195"/>
      <c r="AS285" s="195"/>
      <c r="AT285" s="195"/>
      <c r="AU285" s="195"/>
      <c r="AV285" s="195"/>
      <c r="AW285" s="195"/>
      <c r="AX285" s="226" t="s">
        <v>515</v>
      </c>
      <c r="AY285" s="226" t="s">
        <v>515</v>
      </c>
      <c r="AZ285" s="207" t="s">
        <v>1320</v>
      </c>
      <c r="BA285" s="229" t="s">
        <v>1321</v>
      </c>
    </row>
    <row r="286" spans="1:53" s="187" customFormat="1">
      <c r="A286" s="188" t="s">
        <v>827</v>
      </c>
      <c r="B286" s="189">
        <v>12476</v>
      </c>
      <c r="C286" s="189">
        <v>12476</v>
      </c>
      <c r="D286" s="188" t="s">
        <v>1322</v>
      </c>
      <c r="E286" s="191" t="s">
        <v>15</v>
      </c>
      <c r="F286" s="224" t="s">
        <v>59</v>
      </c>
      <c r="G286" s="212"/>
      <c r="H286" s="193">
        <f t="shared" si="37"/>
        <v>10.329499999999999</v>
      </c>
      <c r="I286" s="199">
        <v>2.8299999999999999E-2</v>
      </c>
      <c r="J286" s="194">
        <f t="shared" si="38"/>
        <v>0.84899999999999998</v>
      </c>
      <c r="K286" s="194">
        <f t="shared" si="39"/>
        <v>10.329499999999999</v>
      </c>
      <c r="L286" s="199">
        <v>2.8299999999999999E-2</v>
      </c>
      <c r="M286" s="194">
        <f t="shared" si="33"/>
        <v>0.84899999999999998</v>
      </c>
      <c r="N286" s="194">
        <f t="shared" si="34"/>
        <v>0</v>
      </c>
      <c r="O286" s="195"/>
      <c r="P286" s="195"/>
      <c r="Q286" s="195"/>
      <c r="R286" s="195"/>
      <c r="S286" s="195"/>
      <c r="T286" s="195"/>
      <c r="U286" s="195"/>
      <c r="V286" s="195"/>
      <c r="W286" s="195"/>
      <c r="X286" s="195"/>
      <c r="Y286" s="195"/>
      <c r="Z286" s="195"/>
      <c r="AA286" s="195"/>
      <c r="AB286" s="195"/>
      <c r="AC286" s="196"/>
      <c r="AD286" s="196"/>
      <c r="AE286" s="196"/>
      <c r="AF286" s="196"/>
      <c r="AG286" s="196"/>
      <c r="AH286" s="196"/>
      <c r="AI286" s="196"/>
      <c r="AJ286" s="195"/>
      <c r="AK286" s="195"/>
      <c r="AL286" s="195"/>
      <c r="AM286" s="195"/>
      <c r="AN286" s="195"/>
      <c r="AO286" s="195"/>
      <c r="AP286" s="195"/>
      <c r="AQ286" s="195"/>
      <c r="AR286" s="195"/>
      <c r="AS286" s="195"/>
      <c r="AT286" s="195"/>
      <c r="AU286" s="195"/>
      <c r="AV286" s="195"/>
      <c r="AW286" s="195"/>
      <c r="AX286" s="191" t="s">
        <v>482</v>
      </c>
      <c r="AY286" s="215" t="s">
        <v>482</v>
      </c>
      <c r="AZ286" s="207" t="s">
        <v>1323</v>
      </c>
      <c r="BA286" s="229" t="s">
        <v>836</v>
      </c>
    </row>
    <row r="287" spans="1:53" s="187" customFormat="1">
      <c r="A287" s="188" t="s">
        <v>827</v>
      </c>
      <c r="B287" s="189">
        <v>12566</v>
      </c>
      <c r="C287" s="189">
        <v>12566</v>
      </c>
      <c r="D287" s="188" t="s">
        <v>1324</v>
      </c>
      <c r="E287" s="191" t="s">
        <v>15</v>
      </c>
      <c r="F287" s="224" t="s">
        <v>59</v>
      </c>
      <c r="G287" s="192"/>
      <c r="H287" s="193">
        <f t="shared" si="37"/>
        <v>7.4460000000000006</v>
      </c>
      <c r="I287" s="219">
        <v>2.0400000000000001E-2</v>
      </c>
      <c r="J287" s="194">
        <f t="shared" si="38"/>
        <v>0.6120000000000001</v>
      </c>
      <c r="K287" s="194">
        <f t="shared" si="39"/>
        <v>7.4460000000000006</v>
      </c>
      <c r="L287" s="219">
        <v>2.0400000000000001E-2</v>
      </c>
      <c r="M287" s="194">
        <f t="shared" si="33"/>
        <v>0.6120000000000001</v>
      </c>
      <c r="N287" s="194">
        <f t="shared" si="34"/>
        <v>0</v>
      </c>
      <c r="O287" s="195"/>
      <c r="P287" s="195"/>
      <c r="Q287" s="195"/>
      <c r="R287" s="195"/>
      <c r="S287" s="195"/>
      <c r="T287" s="195"/>
      <c r="U287" s="195"/>
      <c r="V287" s="195"/>
      <c r="W287" s="195"/>
      <c r="X287" s="195"/>
      <c r="Y287" s="195"/>
      <c r="Z287" s="195"/>
      <c r="AA287" s="195"/>
      <c r="AB287" s="195"/>
      <c r="AC287" s="196"/>
      <c r="AD287" s="196"/>
      <c r="AE287" s="196"/>
      <c r="AF287" s="196"/>
      <c r="AG287" s="196"/>
      <c r="AH287" s="196"/>
      <c r="AI287" s="196"/>
      <c r="AJ287" s="195"/>
      <c r="AK287" s="195"/>
      <c r="AL287" s="195"/>
      <c r="AM287" s="195"/>
      <c r="AN287" s="195"/>
      <c r="AO287" s="195"/>
      <c r="AP287" s="195"/>
      <c r="AQ287" s="195"/>
      <c r="AR287" s="195"/>
      <c r="AS287" s="195"/>
      <c r="AT287" s="195"/>
      <c r="AU287" s="195"/>
      <c r="AV287" s="195"/>
      <c r="AW287" s="195"/>
      <c r="AX287" s="191">
        <v>10</v>
      </c>
      <c r="AY287" s="215">
        <v>20</v>
      </c>
      <c r="AZ287" s="207" t="s">
        <v>1325</v>
      </c>
      <c r="BA287" s="229" t="s">
        <v>830</v>
      </c>
    </row>
    <row r="288" spans="1:53" s="187" customFormat="1">
      <c r="A288" s="188" t="s">
        <v>827</v>
      </c>
      <c r="B288" s="236">
        <v>12585</v>
      </c>
      <c r="C288" s="236">
        <v>12585</v>
      </c>
      <c r="D288" s="231" t="s">
        <v>1326</v>
      </c>
      <c r="E288" s="191" t="s">
        <v>15</v>
      </c>
      <c r="F288" s="220" t="s">
        <v>58</v>
      </c>
      <c r="G288" s="192"/>
      <c r="H288" s="193">
        <f t="shared" si="37"/>
        <v>2.6644999999999999</v>
      </c>
      <c r="I288" s="199">
        <v>7.3000000000000001E-3</v>
      </c>
      <c r="J288" s="194">
        <f t="shared" si="38"/>
        <v>0.219</v>
      </c>
      <c r="K288" s="194">
        <f t="shared" si="39"/>
        <v>2.6644999999999999</v>
      </c>
      <c r="L288" s="199">
        <v>7.3000000000000001E-3</v>
      </c>
      <c r="M288" s="194">
        <f t="shared" si="33"/>
        <v>0.219</v>
      </c>
      <c r="N288" s="194">
        <f t="shared" si="34"/>
        <v>0</v>
      </c>
      <c r="O288" s="195"/>
      <c r="P288" s="195"/>
      <c r="Q288" s="195"/>
      <c r="R288" s="195"/>
      <c r="S288" s="195"/>
      <c r="T288" s="195"/>
      <c r="U288" s="195"/>
      <c r="V288" s="195"/>
      <c r="W288" s="195"/>
      <c r="X288" s="195"/>
      <c r="Y288" s="195"/>
      <c r="Z288" s="195"/>
      <c r="AA288" s="195"/>
      <c r="AB288" s="195"/>
      <c r="AC288" s="196"/>
      <c r="AD288" s="196"/>
      <c r="AE288" s="196"/>
      <c r="AF288" s="196"/>
      <c r="AG288" s="196"/>
      <c r="AH288" s="196"/>
      <c r="AI288" s="196"/>
      <c r="AJ288" s="195"/>
      <c r="AK288" s="195"/>
      <c r="AL288" s="195"/>
      <c r="AM288" s="195"/>
      <c r="AN288" s="195"/>
      <c r="AO288" s="195"/>
      <c r="AP288" s="195"/>
      <c r="AQ288" s="195"/>
      <c r="AR288" s="195"/>
      <c r="AS288" s="195"/>
      <c r="AT288" s="195"/>
      <c r="AU288" s="195"/>
      <c r="AV288" s="195"/>
      <c r="AW288" s="195"/>
      <c r="AX288" s="226">
        <v>10</v>
      </c>
      <c r="AY288" s="226">
        <v>10</v>
      </c>
      <c r="AZ288" s="231" t="s">
        <v>832</v>
      </c>
      <c r="BA288" s="217" t="s">
        <v>1327</v>
      </c>
    </row>
    <row r="289" spans="1:53" s="187" customFormat="1">
      <c r="A289" s="188" t="s">
        <v>827</v>
      </c>
      <c r="B289" s="189">
        <v>12597</v>
      </c>
      <c r="C289" s="189">
        <v>12597</v>
      </c>
      <c r="D289" s="188" t="s">
        <v>1328</v>
      </c>
      <c r="E289" s="191" t="s">
        <v>15</v>
      </c>
      <c r="F289" s="224" t="s">
        <v>60</v>
      </c>
      <c r="G289" s="212"/>
      <c r="H289" s="193">
        <f t="shared" si="37"/>
        <v>6.2779999999999996</v>
      </c>
      <c r="I289" s="219">
        <v>1.72E-2</v>
      </c>
      <c r="J289" s="194">
        <f t="shared" si="38"/>
        <v>0.51600000000000001</v>
      </c>
      <c r="K289" s="194">
        <f t="shared" si="39"/>
        <v>6.2779999999999996</v>
      </c>
      <c r="L289" s="219">
        <v>1.72E-2</v>
      </c>
      <c r="M289" s="194">
        <f t="shared" si="33"/>
        <v>0.51600000000000001</v>
      </c>
      <c r="N289" s="194">
        <f t="shared" si="34"/>
        <v>0</v>
      </c>
      <c r="O289" s="195"/>
      <c r="P289" s="195"/>
      <c r="Q289" s="195"/>
      <c r="R289" s="195"/>
      <c r="S289" s="195"/>
      <c r="T289" s="195"/>
      <c r="U289" s="195"/>
      <c r="V289" s="195"/>
      <c r="W289" s="195"/>
      <c r="X289" s="195"/>
      <c r="Y289" s="195"/>
      <c r="Z289" s="195"/>
      <c r="AA289" s="195"/>
      <c r="AB289" s="195"/>
      <c r="AC289" s="196"/>
      <c r="AD289" s="196"/>
      <c r="AE289" s="196"/>
      <c r="AF289" s="196"/>
      <c r="AG289" s="196"/>
      <c r="AH289" s="196"/>
      <c r="AI289" s="196"/>
      <c r="AJ289" s="195"/>
      <c r="AK289" s="195"/>
      <c r="AL289" s="195"/>
      <c r="AM289" s="195"/>
      <c r="AN289" s="195"/>
      <c r="AO289" s="195"/>
      <c r="AP289" s="195"/>
      <c r="AQ289" s="195"/>
      <c r="AR289" s="195"/>
      <c r="AS289" s="195"/>
      <c r="AT289" s="195"/>
      <c r="AU289" s="195"/>
      <c r="AV289" s="195"/>
      <c r="AW289" s="195"/>
      <c r="AX289" s="226">
        <v>20</v>
      </c>
      <c r="AY289" s="241">
        <v>20</v>
      </c>
      <c r="AZ289" s="207" t="s">
        <v>835</v>
      </c>
      <c r="BA289" s="229" t="s">
        <v>855</v>
      </c>
    </row>
    <row r="290" spans="1:53" s="187" customFormat="1">
      <c r="A290" s="188" t="s">
        <v>827</v>
      </c>
      <c r="B290" s="219">
        <v>12599</v>
      </c>
      <c r="C290" s="219">
        <v>12599</v>
      </c>
      <c r="D290" s="227" t="s">
        <v>1329</v>
      </c>
      <c r="E290" s="191" t="s">
        <v>15</v>
      </c>
      <c r="F290" s="191" t="s">
        <v>59</v>
      </c>
      <c r="G290" s="191" t="s">
        <v>782</v>
      </c>
      <c r="H290" s="193">
        <f t="shared" si="37"/>
        <v>13.286000000000001</v>
      </c>
      <c r="I290" s="194">
        <v>3.6400000000000002E-2</v>
      </c>
      <c r="J290" s="194">
        <f t="shared" si="38"/>
        <v>1.0920000000000001</v>
      </c>
      <c r="K290" s="194">
        <f t="shared" si="39"/>
        <v>13.286000000000001</v>
      </c>
      <c r="L290" s="194">
        <v>3.6400000000000002E-2</v>
      </c>
      <c r="M290" s="194">
        <f t="shared" si="33"/>
        <v>1.0920000000000001</v>
      </c>
      <c r="N290" s="194">
        <f t="shared" si="34"/>
        <v>0</v>
      </c>
      <c r="O290" s="195"/>
      <c r="P290" s="195"/>
      <c r="Q290" s="195"/>
      <c r="R290" s="195"/>
      <c r="S290" s="195"/>
      <c r="T290" s="195"/>
      <c r="U290" s="195"/>
      <c r="V290" s="195"/>
      <c r="W290" s="195"/>
      <c r="X290" s="195"/>
      <c r="Y290" s="195"/>
      <c r="Z290" s="195"/>
      <c r="AA290" s="195"/>
      <c r="AB290" s="195"/>
      <c r="AC290" s="196"/>
      <c r="AD290" s="196"/>
      <c r="AE290" s="196"/>
      <c r="AF290" s="196"/>
      <c r="AG290" s="196"/>
      <c r="AH290" s="196"/>
      <c r="AI290" s="196"/>
      <c r="AJ290" s="195"/>
      <c r="AK290" s="195"/>
      <c r="AL290" s="195"/>
      <c r="AM290" s="195"/>
      <c r="AN290" s="195"/>
      <c r="AO290" s="195"/>
      <c r="AP290" s="195"/>
      <c r="AQ290" s="195"/>
      <c r="AR290" s="195"/>
      <c r="AS290" s="195"/>
      <c r="AT290" s="195"/>
      <c r="AU290" s="195"/>
      <c r="AV290" s="195"/>
      <c r="AW290" s="195"/>
      <c r="AX290" s="191">
        <v>20</v>
      </c>
      <c r="AY290" s="225">
        <v>20</v>
      </c>
      <c r="AZ290" s="227" t="s">
        <v>835</v>
      </c>
      <c r="BA290" s="291" t="s">
        <v>833</v>
      </c>
    </row>
    <row r="291" spans="1:53" s="187" customFormat="1">
      <c r="A291" s="188" t="s">
        <v>827</v>
      </c>
      <c r="B291" s="236">
        <v>12602</v>
      </c>
      <c r="C291" s="236">
        <v>12602</v>
      </c>
      <c r="D291" s="188" t="s">
        <v>1330</v>
      </c>
      <c r="E291" s="191" t="s">
        <v>15</v>
      </c>
      <c r="F291" s="191" t="s">
        <v>59</v>
      </c>
      <c r="G291" s="192"/>
      <c r="H291" s="193">
        <f t="shared" si="37"/>
        <v>13.943</v>
      </c>
      <c r="I291" s="199">
        <v>3.8199999999999998E-2</v>
      </c>
      <c r="J291" s="194">
        <f t="shared" si="38"/>
        <v>1.1459999999999999</v>
      </c>
      <c r="K291" s="194">
        <f t="shared" si="39"/>
        <v>13.943</v>
      </c>
      <c r="L291" s="199">
        <v>3.8199999999999998E-2</v>
      </c>
      <c r="M291" s="194">
        <f t="shared" si="33"/>
        <v>1.1459999999999999</v>
      </c>
      <c r="N291" s="194">
        <f t="shared" si="34"/>
        <v>0</v>
      </c>
      <c r="O291" s="195"/>
      <c r="P291" s="195"/>
      <c r="Q291" s="195"/>
      <c r="R291" s="195"/>
      <c r="S291" s="195"/>
      <c r="T291" s="195"/>
      <c r="U291" s="195"/>
      <c r="V291" s="195"/>
      <c r="W291" s="195"/>
      <c r="X291" s="195"/>
      <c r="Y291" s="195"/>
      <c r="Z291" s="195"/>
      <c r="AA291" s="195"/>
      <c r="AB291" s="195"/>
      <c r="AC291" s="196"/>
      <c r="AD291" s="196"/>
      <c r="AE291" s="196"/>
      <c r="AF291" s="196"/>
      <c r="AG291" s="196"/>
      <c r="AH291" s="196"/>
      <c r="AI291" s="196"/>
      <c r="AJ291" s="195"/>
      <c r="AK291" s="195"/>
      <c r="AL291" s="195"/>
      <c r="AM291" s="195"/>
      <c r="AN291" s="195"/>
      <c r="AO291" s="195"/>
      <c r="AP291" s="195"/>
      <c r="AQ291" s="195"/>
      <c r="AR291" s="195"/>
      <c r="AS291" s="195"/>
      <c r="AT291" s="195"/>
      <c r="AU291" s="195"/>
      <c r="AV291" s="195"/>
      <c r="AW291" s="195"/>
      <c r="AX291" s="226">
        <v>10</v>
      </c>
      <c r="AY291" s="241">
        <v>10</v>
      </c>
      <c r="AZ291" s="231" t="s">
        <v>832</v>
      </c>
      <c r="BA291" s="201" t="s">
        <v>1331</v>
      </c>
    </row>
    <row r="292" spans="1:53" s="187" customFormat="1">
      <c r="A292" s="188" t="s">
        <v>827</v>
      </c>
      <c r="B292" s="236">
        <v>12608</v>
      </c>
      <c r="C292" s="236">
        <v>12608</v>
      </c>
      <c r="D292" s="231" t="s">
        <v>1332</v>
      </c>
      <c r="E292" s="191" t="s">
        <v>15</v>
      </c>
      <c r="F292" s="191" t="s">
        <v>59</v>
      </c>
      <c r="G292" s="191"/>
      <c r="H292" s="193">
        <f t="shared" si="37"/>
        <v>8.2125000000000004</v>
      </c>
      <c r="I292" s="199">
        <v>2.2499999999999999E-2</v>
      </c>
      <c r="J292" s="194">
        <f t="shared" si="38"/>
        <v>0.67499999999999993</v>
      </c>
      <c r="K292" s="194">
        <f t="shared" si="39"/>
        <v>8.2125000000000004</v>
      </c>
      <c r="L292" s="199">
        <v>2.2499999999999999E-2</v>
      </c>
      <c r="M292" s="194">
        <f t="shared" si="33"/>
        <v>0.67499999999999993</v>
      </c>
      <c r="N292" s="194">
        <f t="shared" si="34"/>
        <v>0</v>
      </c>
      <c r="O292" s="195"/>
      <c r="P292" s="195"/>
      <c r="Q292" s="195"/>
      <c r="R292" s="195"/>
      <c r="S292" s="195"/>
      <c r="T292" s="195"/>
      <c r="U292" s="195"/>
      <c r="V292" s="195"/>
      <c r="W292" s="195"/>
      <c r="X292" s="195"/>
      <c r="Y292" s="195"/>
      <c r="Z292" s="195"/>
      <c r="AA292" s="195"/>
      <c r="AB292" s="195"/>
      <c r="AC292" s="196"/>
      <c r="AD292" s="196"/>
      <c r="AE292" s="196"/>
      <c r="AF292" s="196"/>
      <c r="AG292" s="196"/>
      <c r="AH292" s="196"/>
      <c r="AI292" s="196"/>
      <c r="AJ292" s="195"/>
      <c r="AK292" s="195"/>
      <c r="AL292" s="195"/>
      <c r="AM292" s="195"/>
      <c r="AN292" s="195"/>
      <c r="AO292" s="195"/>
      <c r="AP292" s="195"/>
      <c r="AQ292" s="195"/>
      <c r="AR292" s="195"/>
      <c r="AS292" s="195"/>
      <c r="AT292" s="195"/>
      <c r="AU292" s="195"/>
      <c r="AV292" s="195"/>
      <c r="AW292" s="195"/>
      <c r="AX292" s="226">
        <v>10</v>
      </c>
      <c r="AY292" s="241" t="s">
        <v>851</v>
      </c>
      <c r="AZ292" s="231" t="s">
        <v>832</v>
      </c>
      <c r="BA292" s="217" t="s">
        <v>830</v>
      </c>
    </row>
    <row r="293" spans="1:53" s="187" customFormat="1">
      <c r="A293" s="188" t="s">
        <v>827</v>
      </c>
      <c r="B293" s="236">
        <v>12636</v>
      </c>
      <c r="C293" s="236">
        <v>12636</v>
      </c>
      <c r="D293" s="231" t="s">
        <v>1333</v>
      </c>
      <c r="E293" s="191" t="s">
        <v>15</v>
      </c>
      <c r="F293" s="191" t="s">
        <v>56</v>
      </c>
      <c r="G293" s="191"/>
      <c r="H293" s="193">
        <f t="shared" si="37"/>
        <v>66.284000000000006</v>
      </c>
      <c r="I293" s="199">
        <v>0.18160000000000001</v>
      </c>
      <c r="J293" s="194">
        <f t="shared" si="38"/>
        <v>5.4480000000000004</v>
      </c>
      <c r="K293" s="194">
        <f t="shared" si="39"/>
        <v>66.284000000000006</v>
      </c>
      <c r="L293" s="199">
        <v>0.18160000000000001</v>
      </c>
      <c r="M293" s="194">
        <f t="shared" si="33"/>
        <v>5.4480000000000004</v>
      </c>
      <c r="N293" s="194">
        <f t="shared" si="34"/>
        <v>0</v>
      </c>
      <c r="O293" s="195"/>
      <c r="P293" s="195"/>
      <c r="Q293" s="195"/>
      <c r="R293" s="195"/>
      <c r="S293" s="195"/>
      <c r="T293" s="195"/>
      <c r="U293" s="195"/>
      <c r="V293" s="195"/>
      <c r="W293" s="195"/>
      <c r="X293" s="195"/>
      <c r="Y293" s="195"/>
      <c r="Z293" s="195"/>
      <c r="AA293" s="195"/>
      <c r="AB293" s="195"/>
      <c r="AC293" s="196"/>
      <c r="AD293" s="196"/>
      <c r="AE293" s="196"/>
      <c r="AF293" s="196"/>
      <c r="AG293" s="196"/>
      <c r="AH293" s="196"/>
      <c r="AI293" s="196"/>
      <c r="AJ293" s="195"/>
      <c r="AK293" s="195"/>
      <c r="AL293" s="195"/>
      <c r="AM293" s="195"/>
      <c r="AN293" s="195"/>
      <c r="AO293" s="195"/>
      <c r="AP293" s="195"/>
      <c r="AQ293" s="195"/>
      <c r="AR293" s="195"/>
      <c r="AS293" s="195"/>
      <c r="AT293" s="195"/>
      <c r="AU293" s="195"/>
      <c r="AV293" s="195"/>
      <c r="AW293" s="195"/>
      <c r="AX293" s="226">
        <v>20</v>
      </c>
      <c r="AY293" s="241">
        <v>20</v>
      </c>
      <c r="AZ293" s="231" t="s">
        <v>1334</v>
      </c>
      <c r="BA293" s="229" t="s">
        <v>1335</v>
      </c>
    </row>
    <row r="294" spans="1:53" s="187" customFormat="1">
      <c r="A294" s="188" t="s">
        <v>827</v>
      </c>
      <c r="B294" s="189">
        <v>12641</v>
      </c>
      <c r="C294" s="189">
        <v>12641</v>
      </c>
      <c r="D294" s="188" t="s">
        <v>1336</v>
      </c>
      <c r="E294" s="191" t="s">
        <v>597</v>
      </c>
      <c r="F294" s="191" t="s">
        <v>59</v>
      </c>
      <c r="G294" s="191"/>
      <c r="H294" s="193">
        <f t="shared" si="37"/>
        <v>3.65</v>
      </c>
      <c r="I294" s="199">
        <v>0.01</v>
      </c>
      <c r="J294" s="194">
        <f t="shared" si="38"/>
        <v>0.3</v>
      </c>
      <c r="K294" s="194">
        <f t="shared" si="39"/>
        <v>3.65</v>
      </c>
      <c r="L294" s="199">
        <v>0.01</v>
      </c>
      <c r="M294" s="194">
        <f t="shared" si="33"/>
        <v>0.3</v>
      </c>
      <c r="N294" s="194">
        <f t="shared" si="34"/>
        <v>0</v>
      </c>
      <c r="O294" s="195"/>
      <c r="P294" s="195"/>
      <c r="Q294" s="195"/>
      <c r="R294" s="195"/>
      <c r="S294" s="195"/>
      <c r="T294" s="195"/>
      <c r="U294" s="195"/>
      <c r="V294" s="195"/>
      <c r="W294" s="195"/>
      <c r="X294" s="195"/>
      <c r="Y294" s="195"/>
      <c r="Z294" s="195"/>
      <c r="AA294" s="195"/>
      <c r="AB294" s="195"/>
      <c r="AC294" s="196"/>
      <c r="AD294" s="196"/>
      <c r="AE294" s="196"/>
      <c r="AF294" s="196"/>
      <c r="AG294" s="196"/>
      <c r="AH294" s="196"/>
      <c r="AI294" s="196"/>
      <c r="AJ294" s="195"/>
      <c r="AK294" s="195"/>
      <c r="AL294" s="195"/>
      <c r="AM294" s="195"/>
      <c r="AN294" s="195"/>
      <c r="AO294" s="195"/>
      <c r="AP294" s="195"/>
      <c r="AQ294" s="195"/>
      <c r="AR294" s="195"/>
      <c r="AS294" s="195"/>
      <c r="AT294" s="195"/>
      <c r="AU294" s="195"/>
      <c r="AV294" s="195"/>
      <c r="AW294" s="195"/>
      <c r="AX294" s="191">
        <v>20</v>
      </c>
      <c r="AY294" s="225">
        <v>20</v>
      </c>
      <c r="AZ294" s="207" t="s">
        <v>765</v>
      </c>
      <c r="BA294" s="229" t="s">
        <v>836</v>
      </c>
    </row>
    <row r="295" spans="1:53" s="187" customFormat="1">
      <c r="A295" s="188" t="s">
        <v>827</v>
      </c>
      <c r="B295" s="219">
        <v>12689</v>
      </c>
      <c r="C295" s="219">
        <v>12689</v>
      </c>
      <c r="D295" s="227" t="s">
        <v>1337</v>
      </c>
      <c r="E295" s="191" t="s">
        <v>597</v>
      </c>
      <c r="F295" s="191" t="s">
        <v>1131</v>
      </c>
      <c r="G295" s="191" t="s">
        <v>782</v>
      </c>
      <c r="H295" s="193">
        <f t="shared" si="37"/>
        <v>88.256999999999991</v>
      </c>
      <c r="I295" s="194">
        <v>0.24179999999999999</v>
      </c>
      <c r="J295" s="194">
        <f t="shared" si="38"/>
        <v>7.2539999999999996</v>
      </c>
      <c r="K295" s="194">
        <f t="shared" si="39"/>
        <v>88.256999999999991</v>
      </c>
      <c r="L295" s="194">
        <v>0.24179999999999999</v>
      </c>
      <c r="M295" s="194">
        <f t="shared" si="33"/>
        <v>7.2539999999999996</v>
      </c>
      <c r="N295" s="194">
        <f t="shared" si="34"/>
        <v>0</v>
      </c>
      <c r="O295" s="195"/>
      <c r="P295" s="195"/>
      <c r="Q295" s="195"/>
      <c r="R295" s="195"/>
      <c r="S295" s="195"/>
      <c r="T295" s="195"/>
      <c r="U295" s="195"/>
      <c r="V295" s="195"/>
      <c r="W295" s="195"/>
      <c r="X295" s="195"/>
      <c r="Y295" s="195"/>
      <c r="Z295" s="195"/>
      <c r="AA295" s="195"/>
      <c r="AB295" s="195"/>
      <c r="AC295" s="196"/>
      <c r="AD295" s="196"/>
      <c r="AE295" s="196"/>
      <c r="AF295" s="196"/>
      <c r="AG295" s="196"/>
      <c r="AH295" s="196"/>
      <c r="AI295" s="196"/>
      <c r="AJ295" s="195"/>
      <c r="AK295" s="195"/>
      <c r="AL295" s="195"/>
      <c r="AM295" s="195"/>
      <c r="AN295" s="195"/>
      <c r="AO295" s="195"/>
      <c r="AP295" s="195"/>
      <c r="AQ295" s="195"/>
      <c r="AR295" s="195"/>
      <c r="AS295" s="195"/>
      <c r="AT295" s="195"/>
      <c r="AU295" s="195"/>
      <c r="AV295" s="195"/>
      <c r="AW295" s="195"/>
      <c r="AX295" s="191">
        <v>20</v>
      </c>
      <c r="AY295" s="225" t="s">
        <v>851</v>
      </c>
      <c r="AZ295" s="207" t="s">
        <v>1338</v>
      </c>
      <c r="BA295" s="188" t="s">
        <v>1189</v>
      </c>
    </row>
    <row r="296" spans="1:53" s="187" customFormat="1">
      <c r="A296" s="188" t="s">
        <v>827</v>
      </c>
      <c r="B296" s="219">
        <v>12755</v>
      </c>
      <c r="C296" s="219">
        <v>12755</v>
      </c>
      <c r="D296" s="227" t="s">
        <v>1339</v>
      </c>
      <c r="E296" s="191" t="s">
        <v>15</v>
      </c>
      <c r="F296" s="191" t="s">
        <v>1131</v>
      </c>
      <c r="G296" s="191" t="s">
        <v>782</v>
      </c>
      <c r="H296" s="193">
        <f t="shared" si="37"/>
        <v>72.087500000000006</v>
      </c>
      <c r="I296" s="194">
        <v>0.19750000000000001</v>
      </c>
      <c r="J296" s="194">
        <f t="shared" si="38"/>
        <v>5.9250000000000007</v>
      </c>
      <c r="K296" s="194">
        <f t="shared" si="39"/>
        <v>72.087500000000006</v>
      </c>
      <c r="L296" s="194">
        <v>0.19750000000000001</v>
      </c>
      <c r="M296" s="194">
        <f t="shared" ref="M296:M333" si="40">L296*30</f>
        <v>5.9250000000000007</v>
      </c>
      <c r="N296" s="194">
        <f t="shared" ref="N296:N315" si="41">L296-I296</f>
        <v>0</v>
      </c>
      <c r="O296" s="195"/>
      <c r="P296" s="195"/>
      <c r="Q296" s="195"/>
      <c r="R296" s="195"/>
      <c r="S296" s="195"/>
      <c r="T296" s="195"/>
      <c r="U296" s="195"/>
      <c r="V296" s="195"/>
      <c r="W296" s="195"/>
      <c r="X296" s="195"/>
      <c r="Y296" s="195"/>
      <c r="Z296" s="195"/>
      <c r="AA296" s="195"/>
      <c r="AB296" s="195"/>
      <c r="AC296" s="196"/>
      <c r="AD296" s="196"/>
      <c r="AE296" s="196"/>
      <c r="AF296" s="196"/>
      <c r="AG296" s="196"/>
      <c r="AH296" s="196"/>
      <c r="AI296" s="196"/>
      <c r="AJ296" s="195"/>
      <c r="AK296" s="195"/>
      <c r="AL296" s="195"/>
      <c r="AM296" s="195"/>
      <c r="AN296" s="195"/>
      <c r="AO296" s="195"/>
      <c r="AP296" s="195"/>
      <c r="AQ296" s="195"/>
      <c r="AR296" s="195"/>
      <c r="AS296" s="195"/>
      <c r="AT296" s="195"/>
      <c r="AU296" s="195"/>
      <c r="AV296" s="195"/>
      <c r="AW296" s="195"/>
      <c r="AX296" s="191" t="s">
        <v>1053</v>
      </c>
      <c r="AY296" s="225" t="s">
        <v>515</v>
      </c>
      <c r="AZ296" s="207" t="s">
        <v>1016</v>
      </c>
      <c r="BA296" s="188" t="s">
        <v>888</v>
      </c>
    </row>
    <row r="297" spans="1:53" s="187" customFormat="1">
      <c r="A297" s="188" t="s">
        <v>827</v>
      </c>
      <c r="B297" s="189">
        <v>12777</v>
      </c>
      <c r="C297" s="189">
        <v>12777</v>
      </c>
      <c r="D297" s="188" t="s">
        <v>1340</v>
      </c>
      <c r="E297" s="191" t="s">
        <v>15</v>
      </c>
      <c r="F297" s="191" t="s">
        <v>59</v>
      </c>
      <c r="G297" s="191"/>
      <c r="H297" s="193">
        <f t="shared" si="37"/>
        <v>3.7230000000000003</v>
      </c>
      <c r="I297" s="219">
        <v>1.0200000000000001E-2</v>
      </c>
      <c r="J297" s="194">
        <f t="shared" si="38"/>
        <v>0.30600000000000005</v>
      </c>
      <c r="K297" s="194">
        <f t="shared" si="39"/>
        <v>3.7230000000000003</v>
      </c>
      <c r="L297" s="219">
        <v>1.0200000000000001E-2</v>
      </c>
      <c r="M297" s="194">
        <f t="shared" si="40"/>
        <v>0.30600000000000005</v>
      </c>
      <c r="N297" s="194">
        <f t="shared" si="41"/>
        <v>0</v>
      </c>
      <c r="O297" s="195"/>
      <c r="P297" s="195"/>
      <c r="Q297" s="195"/>
      <c r="R297" s="195"/>
      <c r="S297" s="195"/>
      <c r="T297" s="195"/>
      <c r="U297" s="195"/>
      <c r="V297" s="195"/>
      <c r="W297" s="195"/>
      <c r="X297" s="195"/>
      <c r="Y297" s="195"/>
      <c r="Z297" s="195"/>
      <c r="AA297" s="195"/>
      <c r="AB297" s="195"/>
      <c r="AC297" s="196"/>
      <c r="AD297" s="196"/>
      <c r="AE297" s="196"/>
      <c r="AF297" s="196"/>
      <c r="AG297" s="196"/>
      <c r="AH297" s="196"/>
      <c r="AI297" s="196"/>
      <c r="AJ297" s="195"/>
      <c r="AK297" s="195"/>
      <c r="AL297" s="195"/>
      <c r="AM297" s="195"/>
      <c r="AN297" s="195"/>
      <c r="AO297" s="195"/>
      <c r="AP297" s="195"/>
      <c r="AQ297" s="195"/>
      <c r="AR297" s="195"/>
      <c r="AS297" s="195"/>
      <c r="AT297" s="195"/>
      <c r="AU297" s="195"/>
      <c r="AV297" s="195"/>
      <c r="AW297" s="195"/>
      <c r="AX297" s="191">
        <v>20</v>
      </c>
      <c r="AY297" s="225" t="s">
        <v>959</v>
      </c>
      <c r="AZ297" s="207" t="s">
        <v>832</v>
      </c>
      <c r="BA297" s="188" t="s">
        <v>830</v>
      </c>
    </row>
    <row r="298" spans="1:53" s="187" customFormat="1">
      <c r="A298" s="188" t="s">
        <v>827</v>
      </c>
      <c r="B298" s="236">
        <v>12782</v>
      </c>
      <c r="C298" s="236">
        <v>12782</v>
      </c>
      <c r="D298" s="231" t="s">
        <v>1341</v>
      </c>
      <c r="E298" s="191" t="s">
        <v>1342</v>
      </c>
      <c r="F298" s="191" t="s">
        <v>59</v>
      </c>
      <c r="G298" s="224"/>
      <c r="H298" s="193">
        <f t="shared" si="37"/>
        <v>179.8355</v>
      </c>
      <c r="I298" s="199">
        <v>0.49270000000000003</v>
      </c>
      <c r="J298" s="194">
        <f t="shared" si="38"/>
        <v>14.781000000000001</v>
      </c>
      <c r="K298" s="194">
        <f t="shared" si="39"/>
        <v>179.8355</v>
      </c>
      <c r="L298" s="199">
        <v>0.49270000000000003</v>
      </c>
      <c r="M298" s="194">
        <f t="shared" si="40"/>
        <v>14.781000000000001</v>
      </c>
      <c r="N298" s="194">
        <f t="shared" si="41"/>
        <v>0</v>
      </c>
      <c r="O298" s="195"/>
      <c r="P298" s="195"/>
      <c r="Q298" s="195"/>
      <c r="R298" s="195"/>
      <c r="S298" s="195"/>
      <c r="T298" s="195"/>
      <c r="U298" s="195"/>
      <c r="V298" s="195"/>
      <c r="W298" s="195"/>
      <c r="X298" s="195"/>
      <c r="Y298" s="195"/>
      <c r="Z298" s="195"/>
      <c r="AA298" s="195"/>
      <c r="AB298" s="195"/>
      <c r="AC298" s="196"/>
      <c r="AD298" s="196"/>
      <c r="AE298" s="196"/>
      <c r="AF298" s="196"/>
      <c r="AG298" s="196"/>
      <c r="AH298" s="196"/>
      <c r="AI298" s="196"/>
      <c r="AJ298" s="195"/>
      <c r="AK298" s="195"/>
      <c r="AL298" s="195"/>
      <c r="AM298" s="195"/>
      <c r="AN298" s="195"/>
      <c r="AO298" s="195"/>
      <c r="AP298" s="195"/>
      <c r="AQ298" s="195"/>
      <c r="AR298" s="195"/>
      <c r="AS298" s="195"/>
      <c r="AT298" s="195"/>
      <c r="AU298" s="195"/>
      <c r="AV298" s="195"/>
      <c r="AW298" s="195"/>
      <c r="AX298" s="226">
        <v>10</v>
      </c>
      <c r="AY298" s="241" t="s">
        <v>851</v>
      </c>
      <c r="AZ298" s="231" t="s">
        <v>835</v>
      </c>
      <c r="BA298" s="188" t="s">
        <v>833</v>
      </c>
    </row>
    <row r="299" spans="1:53" s="187" customFormat="1">
      <c r="A299" s="188" t="s">
        <v>827</v>
      </c>
      <c r="B299" s="236">
        <v>12788</v>
      </c>
      <c r="C299" s="236">
        <v>12788</v>
      </c>
      <c r="D299" s="231" t="s">
        <v>1343</v>
      </c>
      <c r="E299" s="191" t="s">
        <v>15</v>
      </c>
      <c r="F299" s="191" t="s">
        <v>59</v>
      </c>
      <c r="G299" s="191"/>
      <c r="H299" s="193">
        <f t="shared" si="37"/>
        <v>13.213000000000001</v>
      </c>
      <c r="I299" s="199">
        <v>3.6200000000000003E-2</v>
      </c>
      <c r="J299" s="194">
        <f t="shared" si="38"/>
        <v>1.0860000000000001</v>
      </c>
      <c r="K299" s="194">
        <f t="shared" si="39"/>
        <v>13.213000000000001</v>
      </c>
      <c r="L299" s="199">
        <v>3.6200000000000003E-2</v>
      </c>
      <c r="M299" s="194">
        <f t="shared" si="40"/>
        <v>1.0860000000000001</v>
      </c>
      <c r="N299" s="194">
        <f t="shared" si="41"/>
        <v>0</v>
      </c>
      <c r="O299" s="195"/>
      <c r="P299" s="195"/>
      <c r="Q299" s="195"/>
      <c r="R299" s="195"/>
      <c r="S299" s="195"/>
      <c r="T299" s="195"/>
      <c r="U299" s="195"/>
      <c r="V299" s="195"/>
      <c r="W299" s="195"/>
      <c r="X299" s="195"/>
      <c r="Y299" s="195"/>
      <c r="Z299" s="195"/>
      <c r="AA299" s="195"/>
      <c r="AB299" s="195"/>
      <c r="AC299" s="196"/>
      <c r="AD299" s="196"/>
      <c r="AE299" s="196"/>
      <c r="AF299" s="196"/>
      <c r="AG299" s="196"/>
      <c r="AH299" s="196"/>
      <c r="AI299" s="196"/>
      <c r="AJ299" s="195"/>
      <c r="AK299" s="195"/>
      <c r="AL299" s="195"/>
      <c r="AM299" s="195"/>
      <c r="AN299" s="195"/>
      <c r="AO299" s="195"/>
      <c r="AP299" s="195"/>
      <c r="AQ299" s="195"/>
      <c r="AR299" s="195"/>
      <c r="AS299" s="195"/>
      <c r="AT299" s="195"/>
      <c r="AU299" s="195"/>
      <c r="AV299" s="195"/>
      <c r="AW299" s="195"/>
      <c r="AX299" s="226">
        <v>20</v>
      </c>
      <c r="AY299" s="226" t="s">
        <v>851</v>
      </c>
      <c r="AZ299" s="231" t="s">
        <v>765</v>
      </c>
      <c r="BA299" s="188" t="s">
        <v>833</v>
      </c>
    </row>
    <row r="300" spans="1:53" s="187" customFormat="1">
      <c r="A300" s="188" t="s">
        <v>827</v>
      </c>
      <c r="B300" s="236">
        <v>12789</v>
      </c>
      <c r="C300" s="236">
        <v>12789</v>
      </c>
      <c r="D300" s="231" t="s">
        <v>1344</v>
      </c>
      <c r="E300" s="191" t="s">
        <v>15</v>
      </c>
      <c r="F300" s="191" t="s">
        <v>59</v>
      </c>
      <c r="G300" s="191"/>
      <c r="H300" s="193">
        <f t="shared" si="37"/>
        <v>27.083000000000002</v>
      </c>
      <c r="I300" s="199">
        <v>7.4200000000000002E-2</v>
      </c>
      <c r="J300" s="194">
        <f t="shared" si="38"/>
        <v>2.226</v>
      </c>
      <c r="K300" s="194">
        <f t="shared" si="39"/>
        <v>27.083000000000002</v>
      </c>
      <c r="L300" s="199">
        <v>7.4200000000000002E-2</v>
      </c>
      <c r="M300" s="194">
        <f t="shared" si="40"/>
        <v>2.226</v>
      </c>
      <c r="N300" s="194">
        <f t="shared" si="41"/>
        <v>0</v>
      </c>
      <c r="O300" s="195"/>
      <c r="P300" s="195"/>
      <c r="Q300" s="195"/>
      <c r="R300" s="195"/>
      <c r="S300" s="195"/>
      <c r="T300" s="195"/>
      <c r="U300" s="195"/>
      <c r="V300" s="195"/>
      <c r="W300" s="195"/>
      <c r="X300" s="195"/>
      <c r="Y300" s="195"/>
      <c r="Z300" s="195"/>
      <c r="AA300" s="195"/>
      <c r="AB300" s="195"/>
      <c r="AC300" s="196"/>
      <c r="AD300" s="196"/>
      <c r="AE300" s="196"/>
      <c r="AF300" s="196"/>
      <c r="AG300" s="196"/>
      <c r="AH300" s="196"/>
      <c r="AI300" s="196"/>
      <c r="AJ300" s="195"/>
      <c r="AK300" s="195"/>
      <c r="AL300" s="195"/>
      <c r="AM300" s="195"/>
      <c r="AN300" s="195"/>
      <c r="AO300" s="195"/>
      <c r="AP300" s="195"/>
      <c r="AQ300" s="195"/>
      <c r="AR300" s="195"/>
      <c r="AS300" s="195"/>
      <c r="AT300" s="195"/>
      <c r="AU300" s="195"/>
      <c r="AV300" s="195"/>
      <c r="AW300" s="195"/>
      <c r="AX300" s="226">
        <v>20</v>
      </c>
      <c r="AY300" s="226" t="s">
        <v>851</v>
      </c>
      <c r="AZ300" s="231" t="s">
        <v>765</v>
      </c>
      <c r="BA300" s="208" t="s">
        <v>830</v>
      </c>
    </row>
    <row r="301" spans="1:53" s="187" customFormat="1">
      <c r="A301" s="188" t="s">
        <v>827</v>
      </c>
      <c r="B301" s="236">
        <v>12792</v>
      </c>
      <c r="C301" s="236">
        <v>12792</v>
      </c>
      <c r="D301" s="231" t="s">
        <v>1345</v>
      </c>
      <c r="E301" s="191" t="s">
        <v>15</v>
      </c>
      <c r="F301" s="191" t="s">
        <v>1181</v>
      </c>
      <c r="G301" s="191"/>
      <c r="H301" s="193">
        <f t="shared" si="37"/>
        <v>72.087500000000006</v>
      </c>
      <c r="I301" s="199">
        <v>0.19750000000000001</v>
      </c>
      <c r="J301" s="194">
        <f t="shared" si="38"/>
        <v>5.9250000000000007</v>
      </c>
      <c r="K301" s="194">
        <f t="shared" si="39"/>
        <v>72.087500000000006</v>
      </c>
      <c r="L301" s="199">
        <v>0.19750000000000001</v>
      </c>
      <c r="M301" s="194">
        <f t="shared" si="40"/>
        <v>5.9250000000000007</v>
      </c>
      <c r="N301" s="194">
        <f t="shared" si="41"/>
        <v>0</v>
      </c>
      <c r="O301" s="195"/>
      <c r="P301" s="195"/>
      <c r="Q301" s="195"/>
      <c r="R301" s="195"/>
      <c r="S301" s="195"/>
      <c r="T301" s="195"/>
      <c r="U301" s="195"/>
      <c r="V301" s="195"/>
      <c r="W301" s="195"/>
      <c r="X301" s="195"/>
      <c r="Y301" s="195"/>
      <c r="Z301" s="195"/>
      <c r="AA301" s="195"/>
      <c r="AB301" s="195"/>
      <c r="AC301" s="196"/>
      <c r="AD301" s="196"/>
      <c r="AE301" s="196"/>
      <c r="AF301" s="196"/>
      <c r="AG301" s="196"/>
      <c r="AH301" s="196"/>
      <c r="AI301" s="196"/>
      <c r="AJ301" s="195"/>
      <c r="AK301" s="195"/>
      <c r="AL301" s="195"/>
      <c r="AM301" s="195"/>
      <c r="AN301" s="195"/>
      <c r="AO301" s="195"/>
      <c r="AP301" s="195"/>
      <c r="AQ301" s="195"/>
      <c r="AR301" s="195"/>
      <c r="AS301" s="195"/>
      <c r="AT301" s="195"/>
      <c r="AU301" s="195"/>
      <c r="AV301" s="195"/>
      <c r="AW301" s="195"/>
      <c r="AX301" s="226">
        <v>20</v>
      </c>
      <c r="AY301" s="226">
        <v>20</v>
      </c>
      <c r="AZ301" s="231" t="s">
        <v>835</v>
      </c>
      <c r="BA301" s="188" t="s">
        <v>878</v>
      </c>
    </row>
    <row r="302" spans="1:53" s="187" customFormat="1">
      <c r="A302" s="188" t="s">
        <v>827</v>
      </c>
      <c r="B302" s="236">
        <v>12794</v>
      </c>
      <c r="C302" s="236">
        <v>12794</v>
      </c>
      <c r="D302" s="231" t="s">
        <v>1346</v>
      </c>
      <c r="E302" s="191" t="s">
        <v>15</v>
      </c>
      <c r="F302" s="191" t="s">
        <v>60</v>
      </c>
      <c r="G302" s="191"/>
      <c r="H302" s="193">
        <f t="shared" si="37"/>
        <v>118.26</v>
      </c>
      <c r="I302" s="199">
        <v>0.32400000000000001</v>
      </c>
      <c r="J302" s="194">
        <f t="shared" si="38"/>
        <v>9.7200000000000006</v>
      </c>
      <c r="K302" s="194">
        <f t="shared" si="39"/>
        <v>118.26</v>
      </c>
      <c r="L302" s="199">
        <v>0.32400000000000001</v>
      </c>
      <c r="M302" s="194">
        <f t="shared" si="40"/>
        <v>9.7200000000000006</v>
      </c>
      <c r="N302" s="194">
        <f t="shared" si="41"/>
        <v>0</v>
      </c>
      <c r="O302" s="195"/>
      <c r="P302" s="195"/>
      <c r="Q302" s="195"/>
      <c r="R302" s="195"/>
      <c r="S302" s="195"/>
      <c r="T302" s="195"/>
      <c r="U302" s="195"/>
      <c r="V302" s="195"/>
      <c r="W302" s="195"/>
      <c r="X302" s="195"/>
      <c r="Y302" s="195"/>
      <c r="Z302" s="195"/>
      <c r="AA302" s="195"/>
      <c r="AB302" s="195"/>
      <c r="AC302" s="196"/>
      <c r="AD302" s="196"/>
      <c r="AE302" s="196"/>
      <c r="AF302" s="196"/>
      <c r="AG302" s="196"/>
      <c r="AH302" s="196"/>
      <c r="AI302" s="196"/>
      <c r="AJ302" s="195"/>
      <c r="AK302" s="195"/>
      <c r="AL302" s="195"/>
      <c r="AM302" s="195"/>
      <c r="AN302" s="195"/>
      <c r="AO302" s="195"/>
      <c r="AP302" s="195"/>
      <c r="AQ302" s="195"/>
      <c r="AR302" s="195"/>
      <c r="AS302" s="195"/>
      <c r="AT302" s="195"/>
      <c r="AU302" s="195"/>
      <c r="AV302" s="195"/>
      <c r="AW302" s="195"/>
      <c r="AX302" s="226">
        <v>20</v>
      </c>
      <c r="AY302" s="226">
        <v>20</v>
      </c>
      <c r="AZ302" s="231" t="s">
        <v>835</v>
      </c>
      <c r="BA302" s="188" t="s">
        <v>830</v>
      </c>
    </row>
    <row r="303" spans="1:53" s="187" customFormat="1">
      <c r="A303" s="188" t="s">
        <v>827</v>
      </c>
      <c r="B303" s="236">
        <v>12795</v>
      </c>
      <c r="C303" s="236">
        <v>12795</v>
      </c>
      <c r="D303" s="231" t="s">
        <v>1347</v>
      </c>
      <c r="E303" s="191" t="s">
        <v>15</v>
      </c>
      <c r="F303" s="191" t="s">
        <v>972</v>
      </c>
      <c r="G303" s="191"/>
      <c r="H303" s="193">
        <f t="shared" si="37"/>
        <v>8.8695000000000004</v>
      </c>
      <c r="I303" s="199">
        <v>2.4299999999999999E-2</v>
      </c>
      <c r="J303" s="194">
        <f t="shared" si="38"/>
        <v>0.72899999999999998</v>
      </c>
      <c r="K303" s="194">
        <f t="shared" si="39"/>
        <v>10.0375</v>
      </c>
      <c r="L303" s="199">
        <v>2.75E-2</v>
      </c>
      <c r="M303" s="194">
        <f t="shared" si="40"/>
        <v>0.82499999999999996</v>
      </c>
      <c r="N303" s="194">
        <f t="shared" si="41"/>
        <v>3.2000000000000015E-3</v>
      </c>
      <c r="O303" s="195"/>
      <c r="P303" s="195"/>
      <c r="Q303" s="195"/>
      <c r="R303" s="195"/>
      <c r="S303" s="195"/>
      <c r="T303" s="195"/>
      <c r="U303" s="195"/>
      <c r="V303" s="195"/>
      <c r="W303" s="195"/>
      <c r="X303" s="195"/>
      <c r="Y303" s="195"/>
      <c r="Z303" s="195"/>
      <c r="AA303" s="195"/>
      <c r="AB303" s="195"/>
      <c r="AC303" s="196"/>
      <c r="AD303" s="196"/>
      <c r="AE303" s="196"/>
      <c r="AF303" s="196"/>
      <c r="AG303" s="196"/>
      <c r="AH303" s="196"/>
      <c r="AI303" s="196"/>
      <c r="AJ303" s="195"/>
      <c r="AK303" s="195"/>
      <c r="AL303" s="195"/>
      <c r="AM303" s="195"/>
      <c r="AN303" s="195"/>
      <c r="AO303" s="195"/>
      <c r="AP303" s="195"/>
      <c r="AQ303" s="195"/>
      <c r="AR303" s="195"/>
      <c r="AS303" s="195"/>
      <c r="AT303" s="195"/>
      <c r="AU303" s="195"/>
      <c r="AV303" s="195"/>
      <c r="AW303" s="195"/>
      <c r="AX303" s="226">
        <v>20</v>
      </c>
      <c r="AY303" s="226" t="s">
        <v>851</v>
      </c>
      <c r="AZ303" s="231"/>
      <c r="BA303" s="188" t="s">
        <v>833</v>
      </c>
    </row>
    <row r="304" spans="1:53" s="187" customFormat="1">
      <c r="A304" s="188" t="s">
        <v>827</v>
      </c>
      <c r="B304" s="236">
        <v>12800</v>
      </c>
      <c r="C304" s="236">
        <v>12800</v>
      </c>
      <c r="D304" s="231" t="s">
        <v>1348</v>
      </c>
      <c r="E304" s="191" t="s">
        <v>15</v>
      </c>
      <c r="F304" s="191" t="s">
        <v>56</v>
      </c>
      <c r="G304" s="191"/>
      <c r="H304" s="193">
        <f t="shared" si="37"/>
        <v>67.087000000000003</v>
      </c>
      <c r="I304" s="199">
        <v>0.18379999999999999</v>
      </c>
      <c r="J304" s="194">
        <f t="shared" si="38"/>
        <v>5.5139999999999993</v>
      </c>
      <c r="K304" s="194">
        <f t="shared" si="39"/>
        <v>67.087000000000003</v>
      </c>
      <c r="L304" s="199">
        <v>0.18379999999999999</v>
      </c>
      <c r="M304" s="194">
        <f t="shared" si="40"/>
        <v>5.5139999999999993</v>
      </c>
      <c r="N304" s="194">
        <f t="shared" si="41"/>
        <v>0</v>
      </c>
      <c r="O304" s="195"/>
      <c r="P304" s="195"/>
      <c r="Q304" s="195"/>
      <c r="R304" s="195"/>
      <c r="S304" s="195"/>
      <c r="T304" s="195"/>
      <c r="U304" s="195"/>
      <c r="V304" s="195"/>
      <c r="W304" s="195"/>
      <c r="X304" s="195"/>
      <c r="Y304" s="195"/>
      <c r="Z304" s="195"/>
      <c r="AA304" s="195"/>
      <c r="AB304" s="195"/>
      <c r="AC304" s="196"/>
      <c r="AD304" s="196"/>
      <c r="AE304" s="196"/>
      <c r="AF304" s="196"/>
      <c r="AG304" s="196"/>
      <c r="AH304" s="196"/>
      <c r="AI304" s="196"/>
      <c r="AJ304" s="195"/>
      <c r="AK304" s="195"/>
      <c r="AL304" s="195"/>
      <c r="AM304" s="195"/>
      <c r="AN304" s="195"/>
      <c r="AO304" s="195"/>
      <c r="AP304" s="195"/>
      <c r="AQ304" s="195"/>
      <c r="AR304" s="195"/>
      <c r="AS304" s="195"/>
      <c r="AT304" s="195"/>
      <c r="AU304" s="195"/>
      <c r="AV304" s="195"/>
      <c r="AW304" s="195"/>
      <c r="AX304" s="226">
        <v>20</v>
      </c>
      <c r="AY304" s="226" t="s">
        <v>851</v>
      </c>
      <c r="AZ304" s="231" t="s">
        <v>835</v>
      </c>
      <c r="BA304" s="188" t="s">
        <v>855</v>
      </c>
    </row>
    <row r="305" spans="1:53" s="187" customFormat="1">
      <c r="A305" s="188" t="s">
        <v>827</v>
      </c>
      <c r="B305" s="236">
        <v>12812</v>
      </c>
      <c r="C305" s="236">
        <v>12812</v>
      </c>
      <c r="D305" s="231" t="s">
        <v>1349</v>
      </c>
      <c r="E305" s="191" t="s">
        <v>15</v>
      </c>
      <c r="F305" s="191" t="s">
        <v>59</v>
      </c>
      <c r="G305" s="191"/>
      <c r="H305" s="193">
        <f t="shared" si="37"/>
        <v>11.168999999999999</v>
      </c>
      <c r="I305" s="199">
        <v>3.0599999999999999E-2</v>
      </c>
      <c r="J305" s="194">
        <f t="shared" si="38"/>
        <v>0.91799999999999993</v>
      </c>
      <c r="K305" s="194">
        <f t="shared" si="39"/>
        <v>11.168999999999999</v>
      </c>
      <c r="L305" s="199">
        <v>3.0599999999999999E-2</v>
      </c>
      <c r="M305" s="194">
        <f t="shared" si="40"/>
        <v>0.91799999999999993</v>
      </c>
      <c r="N305" s="194">
        <f t="shared" si="41"/>
        <v>0</v>
      </c>
      <c r="O305" s="195"/>
      <c r="P305" s="195"/>
      <c r="Q305" s="195"/>
      <c r="R305" s="195"/>
      <c r="S305" s="195"/>
      <c r="T305" s="195"/>
      <c r="U305" s="195"/>
      <c r="V305" s="195"/>
      <c r="W305" s="195"/>
      <c r="X305" s="195"/>
      <c r="Y305" s="195"/>
      <c r="Z305" s="195"/>
      <c r="AA305" s="195"/>
      <c r="AB305" s="195"/>
      <c r="AC305" s="196"/>
      <c r="AD305" s="196"/>
      <c r="AE305" s="196"/>
      <c r="AF305" s="196"/>
      <c r="AG305" s="196"/>
      <c r="AH305" s="196"/>
      <c r="AI305" s="196"/>
      <c r="AJ305" s="195"/>
      <c r="AK305" s="195"/>
      <c r="AL305" s="195"/>
      <c r="AM305" s="195"/>
      <c r="AN305" s="195"/>
      <c r="AO305" s="195"/>
      <c r="AP305" s="195"/>
      <c r="AQ305" s="195"/>
      <c r="AR305" s="195"/>
      <c r="AS305" s="195"/>
      <c r="AT305" s="195"/>
      <c r="AU305" s="195"/>
      <c r="AV305" s="195"/>
      <c r="AW305" s="195"/>
      <c r="AX305" s="226">
        <v>20</v>
      </c>
      <c r="AY305" s="226" t="s">
        <v>851</v>
      </c>
      <c r="AZ305" s="231" t="s">
        <v>1350</v>
      </c>
      <c r="BA305" s="188" t="s">
        <v>830</v>
      </c>
    </row>
    <row r="306" spans="1:53" s="187" customFormat="1">
      <c r="A306" s="188" t="s">
        <v>827</v>
      </c>
      <c r="B306" s="189">
        <v>12813</v>
      </c>
      <c r="C306" s="189">
        <v>12813</v>
      </c>
      <c r="D306" s="188" t="s">
        <v>1351</v>
      </c>
      <c r="E306" s="191" t="s">
        <v>15</v>
      </c>
      <c r="F306" s="191" t="s">
        <v>59</v>
      </c>
      <c r="G306" s="191"/>
      <c r="H306" s="193">
        <f t="shared" si="37"/>
        <v>10.657999999999999</v>
      </c>
      <c r="I306" s="219">
        <v>2.92E-2</v>
      </c>
      <c r="J306" s="194">
        <f t="shared" si="38"/>
        <v>0.876</v>
      </c>
      <c r="K306" s="194">
        <f t="shared" si="39"/>
        <v>10.657999999999999</v>
      </c>
      <c r="L306" s="219">
        <v>2.92E-2</v>
      </c>
      <c r="M306" s="194">
        <f t="shared" si="40"/>
        <v>0.876</v>
      </c>
      <c r="N306" s="194">
        <f t="shared" si="41"/>
        <v>0</v>
      </c>
      <c r="O306" s="195"/>
      <c r="P306" s="195"/>
      <c r="Q306" s="195"/>
      <c r="R306" s="195"/>
      <c r="S306" s="195"/>
      <c r="T306" s="195"/>
      <c r="U306" s="195"/>
      <c r="V306" s="195"/>
      <c r="W306" s="195"/>
      <c r="X306" s="195"/>
      <c r="Y306" s="195"/>
      <c r="Z306" s="195"/>
      <c r="AA306" s="195"/>
      <c r="AB306" s="195"/>
      <c r="AC306" s="196"/>
      <c r="AD306" s="196"/>
      <c r="AE306" s="196"/>
      <c r="AF306" s="196"/>
      <c r="AG306" s="196"/>
      <c r="AH306" s="196"/>
      <c r="AI306" s="196"/>
      <c r="AJ306" s="195"/>
      <c r="AK306" s="195"/>
      <c r="AL306" s="195"/>
      <c r="AM306" s="195"/>
      <c r="AN306" s="195"/>
      <c r="AO306" s="195"/>
      <c r="AP306" s="195"/>
      <c r="AQ306" s="195"/>
      <c r="AR306" s="195"/>
      <c r="AS306" s="195"/>
      <c r="AT306" s="195"/>
      <c r="AU306" s="195"/>
      <c r="AV306" s="195"/>
      <c r="AW306" s="195"/>
      <c r="AX306" s="226">
        <v>20</v>
      </c>
      <c r="AY306" s="226">
        <v>20</v>
      </c>
      <c r="AZ306" s="207" t="s">
        <v>765</v>
      </c>
      <c r="BA306" s="188" t="s">
        <v>857</v>
      </c>
    </row>
    <row r="307" spans="1:53" s="187" customFormat="1">
      <c r="A307" s="188" t="s">
        <v>827</v>
      </c>
      <c r="B307" s="236">
        <v>12825</v>
      </c>
      <c r="C307" s="236">
        <v>12825</v>
      </c>
      <c r="D307" s="231" t="s">
        <v>1352</v>
      </c>
      <c r="E307" s="191" t="s">
        <v>15</v>
      </c>
      <c r="F307" s="191" t="s">
        <v>59</v>
      </c>
      <c r="G307" s="191"/>
      <c r="H307" s="193">
        <f t="shared" si="37"/>
        <v>11.935499999999999</v>
      </c>
      <c r="I307" s="199">
        <v>3.27E-2</v>
      </c>
      <c r="J307" s="194">
        <f t="shared" si="38"/>
        <v>0.98099999999999998</v>
      </c>
      <c r="K307" s="194">
        <f t="shared" si="39"/>
        <v>20.074999999999999</v>
      </c>
      <c r="L307" s="199">
        <v>5.5E-2</v>
      </c>
      <c r="M307" s="194">
        <f t="shared" si="40"/>
        <v>1.65</v>
      </c>
      <c r="N307" s="194">
        <f t="shared" si="41"/>
        <v>2.23E-2</v>
      </c>
      <c r="O307" s="195"/>
      <c r="P307" s="195"/>
      <c r="Q307" s="195"/>
      <c r="R307" s="195"/>
      <c r="S307" s="195"/>
      <c r="T307" s="195"/>
      <c r="U307" s="195"/>
      <c r="V307" s="195"/>
      <c r="W307" s="195"/>
      <c r="X307" s="195"/>
      <c r="Y307" s="195"/>
      <c r="Z307" s="195"/>
      <c r="AA307" s="195"/>
      <c r="AB307" s="195"/>
      <c r="AC307" s="196"/>
      <c r="AD307" s="196"/>
      <c r="AE307" s="196"/>
      <c r="AF307" s="196"/>
      <c r="AG307" s="196"/>
      <c r="AH307" s="196"/>
      <c r="AI307" s="196"/>
      <c r="AJ307" s="195"/>
      <c r="AK307" s="195"/>
      <c r="AL307" s="195"/>
      <c r="AM307" s="195"/>
      <c r="AN307" s="195"/>
      <c r="AO307" s="195"/>
      <c r="AP307" s="195"/>
      <c r="AQ307" s="195"/>
      <c r="AR307" s="195"/>
      <c r="AS307" s="195"/>
      <c r="AT307" s="195"/>
      <c r="AU307" s="195"/>
      <c r="AV307" s="195"/>
      <c r="AW307" s="195"/>
      <c r="AX307" s="226">
        <v>20</v>
      </c>
      <c r="AY307" s="226" t="s">
        <v>851</v>
      </c>
      <c r="AZ307" s="231" t="s">
        <v>1353</v>
      </c>
      <c r="BA307" s="208" t="s">
        <v>830</v>
      </c>
    </row>
    <row r="308" spans="1:53" s="187" customFormat="1">
      <c r="A308" s="188" t="s">
        <v>827</v>
      </c>
      <c r="B308" s="236">
        <v>12832</v>
      </c>
      <c r="C308" s="236">
        <v>12832</v>
      </c>
      <c r="D308" s="231" t="s">
        <v>1354</v>
      </c>
      <c r="E308" s="191" t="s">
        <v>15</v>
      </c>
      <c r="F308" s="191" t="s">
        <v>58</v>
      </c>
      <c r="G308" s="191" t="s">
        <v>782</v>
      </c>
      <c r="H308" s="193">
        <f t="shared" si="37"/>
        <v>80.117500000000007</v>
      </c>
      <c r="I308" s="199">
        <v>0.2195</v>
      </c>
      <c r="J308" s="194">
        <f t="shared" si="38"/>
        <v>6.585</v>
      </c>
      <c r="K308" s="194">
        <f t="shared" si="39"/>
        <v>80.117500000000007</v>
      </c>
      <c r="L308" s="199">
        <v>0.2195</v>
      </c>
      <c r="M308" s="194">
        <f t="shared" si="40"/>
        <v>6.585</v>
      </c>
      <c r="N308" s="194">
        <f t="shared" si="41"/>
        <v>0</v>
      </c>
      <c r="O308" s="195"/>
      <c r="P308" s="195"/>
      <c r="Q308" s="195"/>
      <c r="R308" s="195"/>
      <c r="S308" s="195"/>
      <c r="T308" s="195"/>
      <c r="U308" s="195"/>
      <c r="V308" s="195"/>
      <c r="W308" s="195"/>
      <c r="X308" s="195"/>
      <c r="Y308" s="195"/>
      <c r="Z308" s="195"/>
      <c r="AA308" s="195"/>
      <c r="AB308" s="195"/>
      <c r="AC308" s="196"/>
      <c r="AD308" s="196"/>
      <c r="AE308" s="196"/>
      <c r="AF308" s="196"/>
      <c r="AG308" s="196"/>
      <c r="AH308" s="196"/>
      <c r="AI308" s="196"/>
      <c r="AJ308" s="195"/>
      <c r="AK308" s="195"/>
      <c r="AL308" s="195"/>
      <c r="AM308" s="195"/>
      <c r="AN308" s="195"/>
      <c r="AO308" s="195"/>
      <c r="AP308" s="195"/>
      <c r="AQ308" s="195"/>
      <c r="AR308" s="195"/>
      <c r="AS308" s="195"/>
      <c r="AT308" s="195"/>
      <c r="AU308" s="195"/>
      <c r="AV308" s="195"/>
      <c r="AW308" s="195"/>
      <c r="AX308" s="226">
        <v>20</v>
      </c>
      <c r="AY308" s="226">
        <v>20</v>
      </c>
      <c r="AZ308" s="231" t="s">
        <v>835</v>
      </c>
      <c r="BA308" s="188" t="s">
        <v>1355</v>
      </c>
    </row>
    <row r="309" spans="1:53" s="187" customFormat="1">
      <c r="A309" s="188" t="s">
        <v>827</v>
      </c>
      <c r="B309" s="236">
        <v>12850</v>
      </c>
      <c r="C309" s="236">
        <v>12850</v>
      </c>
      <c r="D309" s="231" t="s">
        <v>1356</v>
      </c>
      <c r="E309" s="191" t="s">
        <v>15</v>
      </c>
      <c r="F309" s="191" t="s">
        <v>58</v>
      </c>
      <c r="G309" s="191"/>
      <c r="H309" s="193">
        <f t="shared" si="37"/>
        <v>0.69350000000000001</v>
      </c>
      <c r="I309" s="199">
        <v>1.9E-3</v>
      </c>
      <c r="J309" s="194">
        <f t="shared" si="38"/>
        <v>5.7000000000000002E-2</v>
      </c>
      <c r="K309" s="194">
        <f t="shared" si="39"/>
        <v>0.69350000000000001</v>
      </c>
      <c r="L309" s="199">
        <v>1.9E-3</v>
      </c>
      <c r="M309" s="194">
        <f t="shared" si="40"/>
        <v>5.7000000000000002E-2</v>
      </c>
      <c r="N309" s="194">
        <f t="shared" si="41"/>
        <v>0</v>
      </c>
      <c r="O309" s="195"/>
      <c r="P309" s="195"/>
      <c r="Q309" s="195"/>
      <c r="R309" s="195"/>
      <c r="S309" s="195"/>
      <c r="T309" s="195"/>
      <c r="U309" s="195"/>
      <c r="V309" s="195"/>
      <c r="W309" s="195"/>
      <c r="X309" s="195"/>
      <c r="Y309" s="195"/>
      <c r="Z309" s="195"/>
      <c r="AA309" s="195"/>
      <c r="AB309" s="195"/>
      <c r="AC309" s="196"/>
      <c r="AD309" s="196"/>
      <c r="AE309" s="196"/>
      <c r="AF309" s="196"/>
      <c r="AG309" s="196"/>
      <c r="AH309" s="196"/>
      <c r="AI309" s="196"/>
      <c r="AJ309" s="195"/>
      <c r="AK309" s="195"/>
      <c r="AL309" s="195"/>
      <c r="AM309" s="195"/>
      <c r="AN309" s="195"/>
      <c r="AO309" s="195"/>
      <c r="AP309" s="195"/>
      <c r="AQ309" s="195"/>
      <c r="AR309" s="195"/>
      <c r="AS309" s="195"/>
      <c r="AT309" s="195"/>
      <c r="AU309" s="195"/>
      <c r="AV309" s="195"/>
      <c r="AW309" s="195"/>
      <c r="AX309" s="226">
        <v>20</v>
      </c>
      <c r="AY309" s="226">
        <v>20</v>
      </c>
      <c r="AZ309" s="231" t="s">
        <v>1334</v>
      </c>
      <c r="BA309" s="188" t="s">
        <v>1357</v>
      </c>
    </row>
    <row r="310" spans="1:53" s="187" customFormat="1">
      <c r="A310" s="188" t="s">
        <v>827</v>
      </c>
      <c r="B310" s="236">
        <v>12852</v>
      </c>
      <c r="C310" s="236">
        <v>12852</v>
      </c>
      <c r="D310" s="231" t="s">
        <v>1358</v>
      </c>
      <c r="E310" s="191" t="s">
        <v>15</v>
      </c>
      <c r="F310" s="191" t="s">
        <v>59</v>
      </c>
      <c r="G310" s="191"/>
      <c r="H310" s="193">
        <f t="shared" si="37"/>
        <v>7.6284999999999998</v>
      </c>
      <c r="I310" s="199">
        <v>2.0899999999999998E-2</v>
      </c>
      <c r="J310" s="194">
        <f t="shared" si="38"/>
        <v>0.627</v>
      </c>
      <c r="K310" s="194">
        <f t="shared" si="39"/>
        <v>7.6284999999999998</v>
      </c>
      <c r="L310" s="199">
        <v>2.0899999999999998E-2</v>
      </c>
      <c r="M310" s="194">
        <f t="shared" si="40"/>
        <v>0.627</v>
      </c>
      <c r="N310" s="194">
        <f t="shared" si="41"/>
        <v>0</v>
      </c>
      <c r="O310" s="195"/>
      <c r="P310" s="195"/>
      <c r="Q310" s="195"/>
      <c r="R310" s="195"/>
      <c r="S310" s="195"/>
      <c r="T310" s="195"/>
      <c r="U310" s="195"/>
      <c r="V310" s="195"/>
      <c r="W310" s="195"/>
      <c r="X310" s="195"/>
      <c r="Y310" s="195"/>
      <c r="Z310" s="195"/>
      <c r="AA310" s="195"/>
      <c r="AB310" s="195"/>
      <c r="AC310" s="196"/>
      <c r="AD310" s="196"/>
      <c r="AE310" s="196"/>
      <c r="AF310" s="196"/>
      <c r="AG310" s="196"/>
      <c r="AH310" s="196"/>
      <c r="AI310" s="196"/>
      <c r="AJ310" s="195"/>
      <c r="AK310" s="195"/>
      <c r="AL310" s="195"/>
      <c r="AM310" s="195"/>
      <c r="AN310" s="195"/>
      <c r="AO310" s="195"/>
      <c r="AP310" s="195"/>
      <c r="AQ310" s="195"/>
      <c r="AR310" s="195"/>
      <c r="AS310" s="195"/>
      <c r="AT310" s="195"/>
      <c r="AU310" s="195"/>
      <c r="AV310" s="195"/>
      <c r="AW310" s="195"/>
      <c r="AX310" s="226">
        <v>20</v>
      </c>
      <c r="AY310" s="226" t="s">
        <v>851</v>
      </c>
      <c r="AZ310" s="231" t="s">
        <v>1359</v>
      </c>
      <c r="BA310" s="188" t="s">
        <v>1360</v>
      </c>
    </row>
    <row r="311" spans="1:53" s="187" customFormat="1">
      <c r="A311" s="188" t="s">
        <v>827</v>
      </c>
      <c r="B311" s="236">
        <v>12867</v>
      </c>
      <c r="C311" s="236">
        <v>12867</v>
      </c>
      <c r="D311" s="231" t="s">
        <v>1361</v>
      </c>
      <c r="E311" s="191" t="s">
        <v>1242</v>
      </c>
      <c r="F311" s="191" t="s">
        <v>59</v>
      </c>
      <c r="G311" s="191"/>
      <c r="H311" s="193">
        <f t="shared" si="37"/>
        <v>331.49299999999999</v>
      </c>
      <c r="I311" s="199">
        <v>0.90820000000000001</v>
      </c>
      <c r="J311" s="194">
        <f t="shared" si="38"/>
        <v>27.245999999999999</v>
      </c>
      <c r="K311" s="194">
        <f t="shared" si="39"/>
        <v>331.49299999999999</v>
      </c>
      <c r="L311" s="199">
        <v>0.90820000000000001</v>
      </c>
      <c r="M311" s="194">
        <f t="shared" si="40"/>
        <v>27.245999999999999</v>
      </c>
      <c r="N311" s="194">
        <f t="shared" si="41"/>
        <v>0</v>
      </c>
      <c r="O311" s="195"/>
      <c r="P311" s="195"/>
      <c r="Q311" s="195"/>
      <c r="R311" s="195"/>
      <c r="S311" s="195"/>
      <c r="T311" s="195"/>
      <c r="U311" s="195"/>
      <c r="V311" s="195"/>
      <c r="W311" s="195"/>
      <c r="X311" s="195"/>
      <c r="Y311" s="195"/>
      <c r="Z311" s="195"/>
      <c r="AA311" s="195"/>
      <c r="AB311" s="195"/>
      <c r="AC311" s="196"/>
      <c r="AD311" s="196"/>
      <c r="AE311" s="196"/>
      <c r="AF311" s="196"/>
      <c r="AG311" s="196"/>
      <c r="AH311" s="196"/>
      <c r="AI311" s="196"/>
      <c r="AJ311" s="195"/>
      <c r="AK311" s="195"/>
      <c r="AL311" s="195"/>
      <c r="AM311" s="195"/>
      <c r="AN311" s="195"/>
      <c r="AO311" s="195"/>
      <c r="AP311" s="195"/>
      <c r="AQ311" s="195"/>
      <c r="AR311" s="195"/>
      <c r="AS311" s="195"/>
      <c r="AT311" s="195"/>
      <c r="AU311" s="195"/>
      <c r="AV311" s="195"/>
      <c r="AW311" s="195"/>
      <c r="AX311" s="226" t="s">
        <v>515</v>
      </c>
      <c r="AY311" s="226" t="s">
        <v>515</v>
      </c>
      <c r="AZ311" s="231" t="s">
        <v>1362</v>
      </c>
      <c r="BA311" s="208" t="s">
        <v>830</v>
      </c>
    </row>
    <row r="312" spans="1:53" s="187" customFormat="1">
      <c r="A312" s="188" t="s">
        <v>827</v>
      </c>
      <c r="B312" s="243">
        <v>12869</v>
      </c>
      <c r="C312" s="243">
        <v>12869</v>
      </c>
      <c r="D312" s="248" t="s">
        <v>1363</v>
      </c>
      <c r="E312" s="191" t="s">
        <v>15</v>
      </c>
      <c r="F312" s="212" t="s">
        <v>60</v>
      </c>
      <c r="G312" s="191" t="s">
        <v>782</v>
      </c>
      <c r="H312" s="193">
        <f t="shared" si="37"/>
        <v>1.3140000000000001</v>
      </c>
      <c r="I312" s="194">
        <v>3.5999999999999999E-3</v>
      </c>
      <c r="J312" s="194">
        <v>0</v>
      </c>
      <c r="K312" s="194">
        <f t="shared" si="39"/>
        <v>1.3140000000000001</v>
      </c>
      <c r="L312" s="194">
        <v>3.5999999999999999E-3</v>
      </c>
      <c r="M312" s="194">
        <f t="shared" si="40"/>
        <v>0.108</v>
      </c>
      <c r="N312" s="194">
        <f t="shared" si="41"/>
        <v>0</v>
      </c>
      <c r="O312" s="195"/>
      <c r="P312" s="195"/>
      <c r="Q312" s="195"/>
      <c r="R312" s="195"/>
      <c r="S312" s="195"/>
      <c r="T312" s="195"/>
      <c r="U312" s="195"/>
      <c r="V312" s="195"/>
      <c r="W312" s="195"/>
      <c r="X312" s="195"/>
      <c r="Y312" s="195"/>
      <c r="Z312" s="195"/>
      <c r="AA312" s="195"/>
      <c r="AB312" s="195"/>
      <c r="AC312" s="196"/>
      <c r="AD312" s="196"/>
      <c r="AE312" s="196"/>
      <c r="AF312" s="196"/>
      <c r="AG312" s="196"/>
      <c r="AH312" s="196"/>
      <c r="AI312" s="196"/>
      <c r="AJ312" s="195"/>
      <c r="AK312" s="195"/>
      <c r="AL312" s="195"/>
      <c r="AM312" s="195"/>
      <c r="AN312" s="195"/>
      <c r="AO312" s="195"/>
      <c r="AP312" s="195"/>
      <c r="AQ312" s="195"/>
      <c r="AR312" s="195"/>
      <c r="AS312" s="195"/>
      <c r="AT312" s="195"/>
      <c r="AU312" s="195"/>
      <c r="AV312" s="195"/>
      <c r="AW312" s="195"/>
      <c r="AX312" s="263">
        <v>20</v>
      </c>
      <c r="AY312" s="263" t="s">
        <v>851</v>
      </c>
      <c r="AZ312" s="248" t="s">
        <v>852</v>
      </c>
      <c r="BA312" s="239" t="s">
        <v>830</v>
      </c>
    </row>
    <row r="313" spans="1:53" s="187" customFormat="1">
      <c r="A313" s="188" t="s">
        <v>827</v>
      </c>
      <c r="B313" s="236">
        <v>12929</v>
      </c>
      <c r="C313" s="236">
        <v>12929</v>
      </c>
      <c r="D313" s="231" t="s">
        <v>1364</v>
      </c>
      <c r="E313" s="191" t="s">
        <v>15</v>
      </c>
      <c r="F313" s="212" t="s">
        <v>60</v>
      </c>
      <c r="G313" s="191" t="s">
        <v>782</v>
      </c>
      <c r="H313" s="193">
        <f t="shared" si="37"/>
        <v>0</v>
      </c>
      <c r="I313" s="194">
        <v>0</v>
      </c>
      <c r="J313" s="194">
        <f t="shared" ref="J313:J333" si="42">I313*30</f>
        <v>0</v>
      </c>
      <c r="K313" s="194">
        <f t="shared" si="39"/>
        <v>10.585000000000001</v>
      </c>
      <c r="L313" s="194">
        <v>2.9000000000000001E-2</v>
      </c>
      <c r="M313" s="194">
        <f t="shared" si="40"/>
        <v>0.87</v>
      </c>
      <c r="N313" s="194">
        <f t="shared" si="41"/>
        <v>2.9000000000000001E-2</v>
      </c>
      <c r="O313" s="195"/>
      <c r="P313" s="195"/>
      <c r="Q313" s="195"/>
      <c r="R313" s="195"/>
      <c r="S313" s="195"/>
      <c r="T313" s="195"/>
      <c r="U313" s="195"/>
      <c r="V313" s="195"/>
      <c r="W313" s="195"/>
      <c r="X313" s="195"/>
      <c r="Y313" s="195"/>
      <c r="Z313" s="195"/>
      <c r="AA313" s="195"/>
      <c r="AB313" s="195"/>
      <c r="AC313" s="196"/>
      <c r="AD313" s="196"/>
      <c r="AE313" s="196"/>
      <c r="AF313" s="196"/>
      <c r="AG313" s="196"/>
      <c r="AH313" s="196"/>
      <c r="AI313" s="196"/>
      <c r="AJ313" s="195"/>
      <c r="AK313" s="195"/>
      <c r="AL313" s="195"/>
      <c r="AM313" s="195"/>
      <c r="AN313" s="195"/>
      <c r="AO313" s="195"/>
      <c r="AP313" s="195"/>
      <c r="AQ313" s="195"/>
      <c r="AR313" s="195"/>
      <c r="AS313" s="195"/>
      <c r="AT313" s="195"/>
      <c r="AU313" s="195"/>
      <c r="AV313" s="195"/>
      <c r="AW313" s="195"/>
      <c r="AX313" s="226">
        <v>20</v>
      </c>
      <c r="AY313" s="226" t="s">
        <v>851</v>
      </c>
      <c r="AZ313" s="231" t="s">
        <v>1176</v>
      </c>
      <c r="BA313" s="188" t="s">
        <v>830</v>
      </c>
    </row>
    <row r="314" spans="1:53" s="187" customFormat="1">
      <c r="A314" s="188" t="s">
        <v>827</v>
      </c>
      <c r="B314" s="236">
        <v>12941</v>
      </c>
      <c r="C314" s="236">
        <v>12941</v>
      </c>
      <c r="D314" s="231" t="s">
        <v>1365</v>
      </c>
      <c r="E314" s="191" t="s">
        <v>15</v>
      </c>
      <c r="F314" s="191" t="s">
        <v>59</v>
      </c>
      <c r="G314" s="191" t="s">
        <v>782</v>
      </c>
      <c r="H314" s="193">
        <f t="shared" si="37"/>
        <v>2.9930000000000003</v>
      </c>
      <c r="I314" s="199">
        <v>8.2000000000000007E-3</v>
      </c>
      <c r="J314" s="194">
        <f t="shared" si="42"/>
        <v>0.24600000000000002</v>
      </c>
      <c r="K314" s="194">
        <f t="shared" si="39"/>
        <v>2.9930000000000003</v>
      </c>
      <c r="L314" s="199">
        <v>8.2000000000000007E-3</v>
      </c>
      <c r="M314" s="194">
        <f t="shared" si="40"/>
        <v>0.24600000000000002</v>
      </c>
      <c r="N314" s="194">
        <f t="shared" si="41"/>
        <v>0</v>
      </c>
      <c r="O314" s="195"/>
      <c r="P314" s="195"/>
      <c r="Q314" s="195"/>
      <c r="R314" s="195"/>
      <c r="S314" s="195"/>
      <c r="T314" s="195"/>
      <c r="U314" s="195"/>
      <c r="V314" s="195"/>
      <c r="W314" s="195"/>
      <c r="X314" s="195"/>
      <c r="Y314" s="195"/>
      <c r="Z314" s="195"/>
      <c r="AA314" s="195"/>
      <c r="AB314" s="195"/>
      <c r="AC314" s="196"/>
      <c r="AD314" s="196"/>
      <c r="AE314" s="196"/>
      <c r="AF314" s="196"/>
      <c r="AG314" s="196"/>
      <c r="AH314" s="196"/>
      <c r="AI314" s="196"/>
      <c r="AJ314" s="195"/>
      <c r="AK314" s="195"/>
      <c r="AL314" s="195"/>
      <c r="AM314" s="195"/>
      <c r="AN314" s="195"/>
      <c r="AO314" s="195"/>
      <c r="AP314" s="195"/>
      <c r="AQ314" s="195"/>
      <c r="AR314" s="195"/>
      <c r="AS314" s="195"/>
      <c r="AT314" s="195"/>
      <c r="AU314" s="195"/>
      <c r="AV314" s="195"/>
      <c r="AW314" s="195"/>
      <c r="AX314" s="226">
        <v>20</v>
      </c>
      <c r="AY314" s="226">
        <v>20</v>
      </c>
      <c r="AZ314" s="231" t="s">
        <v>835</v>
      </c>
      <c r="BA314" s="188" t="s">
        <v>830</v>
      </c>
    </row>
    <row r="315" spans="1:53" s="187" customFormat="1">
      <c r="A315" s="188" t="s">
        <v>827</v>
      </c>
      <c r="B315" s="236">
        <v>12964</v>
      </c>
      <c r="C315" s="236">
        <v>12964</v>
      </c>
      <c r="D315" s="231" t="s">
        <v>1366</v>
      </c>
      <c r="E315" s="191" t="s">
        <v>15</v>
      </c>
      <c r="F315" s="191" t="s">
        <v>56</v>
      </c>
      <c r="G315" s="191"/>
      <c r="H315" s="194">
        <f t="shared" si="37"/>
        <v>562.90300000000002</v>
      </c>
      <c r="I315" s="199">
        <v>1.5422</v>
      </c>
      <c r="J315" s="194">
        <f t="shared" si="42"/>
        <v>46.265999999999998</v>
      </c>
      <c r="K315" s="194">
        <f t="shared" si="39"/>
        <v>562.90300000000002</v>
      </c>
      <c r="L315" s="199">
        <v>1.5422</v>
      </c>
      <c r="M315" s="194">
        <f t="shared" si="40"/>
        <v>46.265999999999998</v>
      </c>
      <c r="N315" s="194">
        <f t="shared" si="41"/>
        <v>0</v>
      </c>
      <c r="O315" s="195"/>
      <c r="P315" s="195"/>
      <c r="Q315" s="195"/>
      <c r="R315" s="195"/>
      <c r="S315" s="195"/>
      <c r="T315" s="195"/>
      <c r="U315" s="195"/>
      <c r="V315" s="195"/>
      <c r="W315" s="195"/>
      <c r="X315" s="195"/>
      <c r="Y315" s="195"/>
      <c r="Z315" s="195"/>
      <c r="AA315" s="195"/>
      <c r="AB315" s="195"/>
      <c r="AC315" s="196"/>
      <c r="AD315" s="196"/>
      <c r="AE315" s="196"/>
      <c r="AF315" s="196"/>
      <c r="AG315" s="196"/>
      <c r="AH315" s="196"/>
      <c r="AI315" s="196"/>
      <c r="AJ315" s="195"/>
      <c r="AK315" s="195"/>
      <c r="AL315" s="195"/>
      <c r="AM315" s="195"/>
      <c r="AN315" s="195"/>
      <c r="AO315" s="195"/>
      <c r="AP315" s="195"/>
      <c r="AQ315" s="195"/>
      <c r="AR315" s="195"/>
      <c r="AS315" s="195"/>
      <c r="AT315" s="195"/>
      <c r="AU315" s="195"/>
      <c r="AV315" s="195"/>
      <c r="AW315" s="195"/>
      <c r="AX315" s="226" t="s">
        <v>515</v>
      </c>
      <c r="AY315" s="226" t="s">
        <v>515</v>
      </c>
      <c r="AZ315" s="231" t="s">
        <v>1367</v>
      </c>
      <c r="BA315" s="208" t="s">
        <v>830</v>
      </c>
    </row>
    <row r="316" spans="1:53" s="187" customFormat="1">
      <c r="A316" s="188" t="s">
        <v>827</v>
      </c>
      <c r="B316" s="236">
        <v>13005</v>
      </c>
      <c r="C316" s="236">
        <v>13005.008</v>
      </c>
      <c r="D316" s="231" t="s">
        <v>1368</v>
      </c>
      <c r="E316" s="191" t="s">
        <v>472</v>
      </c>
      <c r="F316" s="191" t="s">
        <v>58</v>
      </c>
      <c r="G316" s="218">
        <v>42143</v>
      </c>
      <c r="H316" s="193">
        <f t="shared" si="37"/>
        <v>6949.8332349999991</v>
      </c>
      <c r="I316" s="199">
        <v>19.040638999999999</v>
      </c>
      <c r="J316" s="194">
        <f t="shared" si="42"/>
        <v>571.21916999999996</v>
      </c>
      <c r="K316" s="194">
        <f t="shared" si="39"/>
        <v>7061.2374400000008</v>
      </c>
      <c r="L316" s="199">
        <v>19.345856000000001</v>
      </c>
      <c r="M316" s="194">
        <f t="shared" si="40"/>
        <v>580.37567999999999</v>
      </c>
      <c r="N316" s="194">
        <v>0.30521700000000002</v>
      </c>
      <c r="O316" s="193">
        <f>P316*365</f>
        <v>0</v>
      </c>
      <c r="P316" s="199">
        <v>0</v>
      </c>
      <c r="Q316" s="194">
        <f>P316*30</f>
        <v>0</v>
      </c>
      <c r="R316" s="194">
        <f>S316*365</f>
        <v>0</v>
      </c>
      <c r="S316" s="199">
        <v>0</v>
      </c>
      <c r="T316" s="194">
        <f>S316*30</f>
        <v>0</v>
      </c>
      <c r="U316" s="233">
        <f>S316-P316</f>
        <v>0</v>
      </c>
      <c r="V316" s="193">
        <f>W316*365</f>
        <v>6949.8332349999991</v>
      </c>
      <c r="W316" s="199">
        <v>19.040638999999999</v>
      </c>
      <c r="X316" s="194">
        <f>W316*30</f>
        <v>571.21916999999996</v>
      </c>
      <c r="Y316" s="194">
        <f>Z316*365</f>
        <v>6949.8332349999991</v>
      </c>
      <c r="Z316" s="199">
        <v>19.040638999999999</v>
      </c>
      <c r="AA316" s="194">
        <f>Z316*30</f>
        <v>571.21916999999996</v>
      </c>
      <c r="AB316" s="233">
        <f>Z316-W316</f>
        <v>0</v>
      </c>
      <c r="AC316" s="233">
        <v>0</v>
      </c>
      <c r="AD316" s="233">
        <v>0</v>
      </c>
      <c r="AE316" s="233">
        <v>0</v>
      </c>
      <c r="AF316" s="233">
        <f>365*AG316</f>
        <v>111.404205</v>
      </c>
      <c r="AG316" s="233">
        <v>0.30521700000000002</v>
      </c>
      <c r="AH316" s="233">
        <f>30*AG316</f>
        <v>9.1565100000000008</v>
      </c>
      <c r="AI316" s="233">
        <f>AG316-AD316</f>
        <v>0.30521700000000002</v>
      </c>
      <c r="AJ316" s="193">
        <f>AK316*365</f>
        <v>0</v>
      </c>
      <c r="AK316" s="199">
        <v>0</v>
      </c>
      <c r="AL316" s="194">
        <f>AK316*30</f>
        <v>0</v>
      </c>
      <c r="AM316" s="194">
        <f>AN316*365</f>
        <v>0</v>
      </c>
      <c r="AN316" s="199">
        <v>0</v>
      </c>
      <c r="AO316" s="194">
        <f>AN316*30</f>
        <v>0</v>
      </c>
      <c r="AP316" s="233">
        <f>AN316-AK316</f>
        <v>0</v>
      </c>
      <c r="AQ316" s="193">
        <f>AR316*365</f>
        <v>0</v>
      </c>
      <c r="AR316" s="199">
        <v>0</v>
      </c>
      <c r="AS316" s="194">
        <f>AR316*30</f>
        <v>0</v>
      </c>
      <c r="AT316" s="194">
        <f>AU316*365</f>
        <v>0</v>
      </c>
      <c r="AU316" s="199">
        <v>0</v>
      </c>
      <c r="AV316" s="194">
        <f>AU316*30</f>
        <v>0</v>
      </c>
      <c r="AW316" s="233">
        <f>AU316-AR316</f>
        <v>0</v>
      </c>
      <c r="AX316" s="226" t="s">
        <v>515</v>
      </c>
      <c r="AY316" s="226" t="s">
        <v>515</v>
      </c>
      <c r="AZ316" s="231" t="s">
        <v>1369</v>
      </c>
      <c r="BA316" s="208" t="s">
        <v>888</v>
      </c>
    </row>
    <row r="317" spans="1:53" s="187" customFormat="1" ht="21.6" customHeight="1">
      <c r="A317" s="188" t="s">
        <v>827</v>
      </c>
      <c r="B317" s="255">
        <v>13005</v>
      </c>
      <c r="C317" s="255">
        <v>13005.007</v>
      </c>
      <c r="D317" s="271" t="s">
        <v>1368</v>
      </c>
      <c r="E317" s="191" t="s">
        <v>15</v>
      </c>
      <c r="F317" s="191" t="s">
        <v>56</v>
      </c>
      <c r="G317" s="218">
        <v>41928</v>
      </c>
      <c r="H317" s="193">
        <f t="shared" si="37"/>
        <v>8678.0210000000006</v>
      </c>
      <c r="I317" s="199">
        <v>23.775400000000001</v>
      </c>
      <c r="J317" s="194">
        <f t="shared" si="42"/>
        <v>713.26200000000006</v>
      </c>
      <c r="K317" s="194">
        <f t="shared" si="39"/>
        <v>6949.8332349999991</v>
      </c>
      <c r="L317" s="199">
        <v>19.040638999999999</v>
      </c>
      <c r="M317" s="194">
        <f t="shared" si="40"/>
        <v>571.21916999999996</v>
      </c>
      <c r="N317" s="194">
        <v>0</v>
      </c>
      <c r="O317" s="193">
        <f>P317*365</f>
        <v>0</v>
      </c>
      <c r="P317" s="199">
        <v>0</v>
      </c>
      <c r="Q317" s="194">
        <f>P317*30</f>
        <v>0</v>
      </c>
      <c r="R317" s="194">
        <f>S317*365</f>
        <v>0</v>
      </c>
      <c r="S317" s="199">
        <v>0</v>
      </c>
      <c r="T317" s="194">
        <f>S317*30</f>
        <v>0</v>
      </c>
      <c r="U317" s="233">
        <f>S317-P317</f>
        <v>0</v>
      </c>
      <c r="V317" s="193">
        <f>W317*365</f>
        <v>6949.8332349999991</v>
      </c>
      <c r="W317" s="199">
        <v>19.040638999999999</v>
      </c>
      <c r="X317" s="194">
        <f>W317*30</f>
        <v>571.21916999999996</v>
      </c>
      <c r="Y317" s="194">
        <f>Z317*365</f>
        <v>6949.8332349999991</v>
      </c>
      <c r="Z317" s="199">
        <v>19.040638999999999</v>
      </c>
      <c r="AA317" s="194">
        <f>Z317*30</f>
        <v>571.21916999999996</v>
      </c>
      <c r="AB317" s="233">
        <f>Z317-W317</f>
        <v>0</v>
      </c>
      <c r="AC317" s="193">
        <f>AD317*365</f>
        <v>0</v>
      </c>
      <c r="AD317" s="199">
        <v>0</v>
      </c>
      <c r="AE317" s="194">
        <f>AD317*30</f>
        <v>0</v>
      </c>
      <c r="AF317" s="194">
        <f>AG317*365</f>
        <v>0</v>
      </c>
      <c r="AG317" s="199">
        <v>0</v>
      </c>
      <c r="AH317" s="194">
        <f>AG317*30</f>
        <v>0</v>
      </c>
      <c r="AI317" s="233">
        <f>AG317-AD317</f>
        <v>0</v>
      </c>
      <c r="AJ317" s="193">
        <f>AK317*365</f>
        <v>0</v>
      </c>
      <c r="AK317" s="199">
        <v>0</v>
      </c>
      <c r="AL317" s="194">
        <f>AK317*30</f>
        <v>0</v>
      </c>
      <c r="AM317" s="194">
        <f>AN317*365</f>
        <v>0</v>
      </c>
      <c r="AN317" s="199">
        <v>0</v>
      </c>
      <c r="AO317" s="194">
        <f>AN317*30</f>
        <v>0</v>
      </c>
      <c r="AP317" s="233">
        <f>AN317-AK317</f>
        <v>0</v>
      </c>
      <c r="AQ317" s="193">
        <f>AR317*365</f>
        <v>0</v>
      </c>
      <c r="AR317" s="199">
        <v>0</v>
      </c>
      <c r="AS317" s="194">
        <f>AR317*30</f>
        <v>0</v>
      </c>
      <c r="AT317" s="194">
        <f>AU317*365</f>
        <v>0</v>
      </c>
      <c r="AU317" s="199">
        <v>0</v>
      </c>
      <c r="AV317" s="194">
        <f>AU317*30</f>
        <v>0</v>
      </c>
      <c r="AW317" s="233">
        <f>AU317-AR317</f>
        <v>0</v>
      </c>
      <c r="AX317" s="226" t="s">
        <v>515</v>
      </c>
      <c r="AY317" s="226" t="s">
        <v>515</v>
      </c>
      <c r="AZ317" s="292" t="s">
        <v>1370</v>
      </c>
      <c r="BA317" s="271" t="s">
        <v>888</v>
      </c>
    </row>
    <row r="318" spans="1:53" s="187" customFormat="1">
      <c r="A318" s="188" t="s">
        <v>827</v>
      </c>
      <c r="B318" s="236">
        <v>13201</v>
      </c>
      <c r="C318" s="236">
        <v>13201</v>
      </c>
      <c r="D318" s="231" t="s">
        <v>1371</v>
      </c>
      <c r="E318" s="191" t="s">
        <v>15</v>
      </c>
      <c r="F318" s="191" t="s">
        <v>59</v>
      </c>
      <c r="G318" s="191"/>
      <c r="H318" s="193">
        <f t="shared" si="37"/>
        <v>28.761999999999997</v>
      </c>
      <c r="I318" s="199">
        <v>7.8799999999999995E-2</v>
      </c>
      <c r="J318" s="194">
        <f t="shared" si="42"/>
        <v>2.3639999999999999</v>
      </c>
      <c r="K318" s="194">
        <f t="shared" si="39"/>
        <v>32.886499999999998</v>
      </c>
      <c r="L318" s="199">
        <v>9.01E-2</v>
      </c>
      <c r="M318" s="194">
        <f t="shared" si="40"/>
        <v>2.7029999999999998</v>
      </c>
      <c r="N318" s="194">
        <f t="shared" ref="N318:N328" si="43">L318-I318</f>
        <v>1.1300000000000004E-2</v>
      </c>
      <c r="O318" s="195"/>
      <c r="P318" s="195"/>
      <c r="Q318" s="195"/>
      <c r="R318" s="195"/>
      <c r="S318" s="195"/>
      <c r="T318" s="195"/>
      <c r="U318" s="195"/>
      <c r="V318" s="195"/>
      <c r="W318" s="195"/>
      <c r="X318" s="195"/>
      <c r="Y318" s="195"/>
      <c r="Z318" s="195"/>
      <c r="AA318" s="195"/>
      <c r="AB318" s="195"/>
      <c r="AC318" s="196"/>
      <c r="AD318" s="196"/>
      <c r="AE318" s="196"/>
      <c r="AF318" s="196"/>
      <c r="AG318" s="196"/>
      <c r="AH318" s="196"/>
      <c r="AI318" s="196"/>
      <c r="AJ318" s="195"/>
      <c r="AK318" s="195"/>
      <c r="AL318" s="195"/>
      <c r="AM318" s="195"/>
      <c r="AN318" s="195"/>
      <c r="AO318" s="195"/>
      <c r="AP318" s="195"/>
      <c r="AQ318" s="195"/>
      <c r="AR318" s="195"/>
      <c r="AS318" s="195"/>
      <c r="AT318" s="195"/>
      <c r="AU318" s="195"/>
      <c r="AV318" s="195"/>
      <c r="AW318" s="195"/>
      <c r="AX318" s="226" t="s">
        <v>959</v>
      </c>
      <c r="AY318" s="215" t="s">
        <v>959</v>
      </c>
      <c r="AZ318" s="231" t="s">
        <v>897</v>
      </c>
      <c r="BA318" s="208" t="s">
        <v>836</v>
      </c>
    </row>
    <row r="319" spans="1:53" s="187" customFormat="1">
      <c r="A319" s="188" t="s">
        <v>827</v>
      </c>
      <c r="B319" s="236">
        <v>13264</v>
      </c>
      <c r="C319" s="236">
        <v>13264</v>
      </c>
      <c r="D319" s="231" t="s">
        <v>1372</v>
      </c>
      <c r="E319" s="191" t="s">
        <v>155</v>
      </c>
      <c r="F319" s="191" t="s">
        <v>59</v>
      </c>
      <c r="G319" s="191"/>
      <c r="H319" s="193">
        <f t="shared" si="37"/>
        <v>15.694999999999999</v>
      </c>
      <c r="I319" s="199">
        <v>4.2999999999999997E-2</v>
      </c>
      <c r="J319" s="194">
        <f t="shared" si="42"/>
        <v>1.2899999999999998</v>
      </c>
      <c r="K319" s="194">
        <f t="shared" si="39"/>
        <v>16.206</v>
      </c>
      <c r="L319" s="199">
        <v>4.4400000000000002E-2</v>
      </c>
      <c r="M319" s="194">
        <f t="shared" si="40"/>
        <v>1.3320000000000001</v>
      </c>
      <c r="N319" s="194">
        <f t="shared" si="43"/>
        <v>1.4000000000000054E-3</v>
      </c>
      <c r="O319" s="195"/>
      <c r="P319" s="195"/>
      <c r="Q319" s="195"/>
      <c r="R319" s="195"/>
      <c r="S319" s="195"/>
      <c r="T319" s="195"/>
      <c r="U319" s="195"/>
      <c r="V319" s="195"/>
      <c r="W319" s="195"/>
      <c r="X319" s="195"/>
      <c r="Y319" s="195"/>
      <c r="Z319" s="195"/>
      <c r="AA319" s="195"/>
      <c r="AB319" s="195"/>
      <c r="AC319" s="196"/>
      <c r="AD319" s="196"/>
      <c r="AE319" s="196"/>
      <c r="AF319" s="196"/>
      <c r="AG319" s="196"/>
      <c r="AH319" s="196"/>
      <c r="AI319" s="196"/>
      <c r="AJ319" s="195"/>
      <c r="AK319" s="195"/>
      <c r="AL319" s="195"/>
      <c r="AM319" s="195"/>
      <c r="AN319" s="195"/>
      <c r="AO319" s="195"/>
      <c r="AP319" s="195"/>
      <c r="AQ319" s="195"/>
      <c r="AR319" s="195"/>
      <c r="AS319" s="195"/>
      <c r="AT319" s="195"/>
      <c r="AU319" s="195"/>
      <c r="AV319" s="195"/>
      <c r="AW319" s="195"/>
      <c r="AX319" s="226">
        <v>10</v>
      </c>
      <c r="AY319" s="226">
        <v>10</v>
      </c>
      <c r="AZ319" s="231" t="s">
        <v>1373</v>
      </c>
      <c r="BA319" s="208" t="s">
        <v>1072</v>
      </c>
    </row>
    <row r="320" spans="1:53" s="187" customFormat="1">
      <c r="A320" s="188" t="s">
        <v>827</v>
      </c>
      <c r="B320" s="236">
        <v>13342</v>
      </c>
      <c r="C320" s="236">
        <v>13342</v>
      </c>
      <c r="D320" s="231" t="s">
        <v>1374</v>
      </c>
      <c r="E320" s="191" t="s">
        <v>15</v>
      </c>
      <c r="F320" s="191" t="s">
        <v>59</v>
      </c>
      <c r="G320" s="191"/>
      <c r="H320" s="193">
        <f t="shared" si="37"/>
        <v>14.380999999999998</v>
      </c>
      <c r="I320" s="199">
        <v>3.9399999999999998E-2</v>
      </c>
      <c r="J320" s="194">
        <f t="shared" si="42"/>
        <v>1.1819999999999999</v>
      </c>
      <c r="K320" s="194">
        <f t="shared" si="39"/>
        <v>73.328500000000005</v>
      </c>
      <c r="L320" s="199">
        <v>0.2009</v>
      </c>
      <c r="M320" s="194">
        <f t="shared" si="40"/>
        <v>6.0270000000000001</v>
      </c>
      <c r="N320" s="194">
        <f t="shared" si="43"/>
        <v>0.1615</v>
      </c>
      <c r="O320" s="195"/>
      <c r="P320" s="195"/>
      <c r="Q320" s="195"/>
      <c r="R320" s="195"/>
      <c r="S320" s="195"/>
      <c r="T320" s="195"/>
      <c r="U320" s="195"/>
      <c r="V320" s="195"/>
      <c r="W320" s="195"/>
      <c r="X320" s="195"/>
      <c r="Y320" s="195"/>
      <c r="Z320" s="195"/>
      <c r="AA320" s="195"/>
      <c r="AB320" s="195"/>
      <c r="AC320" s="196"/>
      <c r="AD320" s="196"/>
      <c r="AE320" s="196"/>
      <c r="AF320" s="196"/>
      <c r="AG320" s="196"/>
      <c r="AH320" s="196"/>
      <c r="AI320" s="196"/>
      <c r="AJ320" s="195"/>
      <c r="AK320" s="195"/>
      <c r="AL320" s="195"/>
      <c r="AM320" s="195"/>
      <c r="AN320" s="195"/>
      <c r="AO320" s="195"/>
      <c r="AP320" s="195"/>
      <c r="AQ320" s="195"/>
      <c r="AR320" s="195"/>
      <c r="AS320" s="195"/>
      <c r="AT320" s="195"/>
      <c r="AU320" s="195"/>
      <c r="AV320" s="195"/>
      <c r="AW320" s="195"/>
      <c r="AX320" s="226">
        <v>20</v>
      </c>
      <c r="AY320" s="226">
        <v>20</v>
      </c>
      <c r="AZ320" s="231" t="s">
        <v>1375</v>
      </c>
      <c r="BA320" s="208" t="s">
        <v>1376</v>
      </c>
    </row>
    <row r="321" spans="1:53" s="187" customFormat="1">
      <c r="A321" s="188" t="s">
        <v>827</v>
      </c>
      <c r="B321" s="189">
        <v>20227</v>
      </c>
      <c r="C321" s="189">
        <v>20227</v>
      </c>
      <c r="D321" s="190" t="s">
        <v>1377</v>
      </c>
      <c r="E321" s="191" t="s">
        <v>15</v>
      </c>
      <c r="F321" s="191" t="s">
        <v>59</v>
      </c>
      <c r="G321" s="191"/>
      <c r="H321" s="193">
        <f t="shared" si="37"/>
        <v>14.380999999999998</v>
      </c>
      <c r="I321" s="194">
        <v>3.9399999999999998E-2</v>
      </c>
      <c r="J321" s="194">
        <f t="shared" si="42"/>
        <v>1.1819999999999999</v>
      </c>
      <c r="K321" s="194">
        <f t="shared" si="39"/>
        <v>52.048999999999999</v>
      </c>
      <c r="L321" s="194">
        <v>0.1426</v>
      </c>
      <c r="M321" s="194">
        <f t="shared" si="40"/>
        <v>4.2780000000000005</v>
      </c>
      <c r="N321" s="194">
        <f t="shared" si="43"/>
        <v>0.10320000000000001</v>
      </c>
      <c r="O321" s="195"/>
      <c r="P321" s="195"/>
      <c r="Q321" s="195"/>
      <c r="R321" s="195"/>
      <c r="S321" s="195"/>
      <c r="T321" s="195"/>
      <c r="U321" s="195"/>
      <c r="V321" s="195"/>
      <c r="W321" s="195"/>
      <c r="X321" s="195"/>
      <c r="Y321" s="195"/>
      <c r="Z321" s="195"/>
      <c r="AA321" s="195"/>
      <c r="AB321" s="195"/>
      <c r="AC321" s="196"/>
      <c r="AD321" s="196"/>
      <c r="AE321" s="196"/>
      <c r="AF321" s="196"/>
      <c r="AG321" s="196"/>
      <c r="AH321" s="196"/>
      <c r="AI321" s="196"/>
      <c r="AJ321" s="195"/>
      <c r="AK321" s="195"/>
      <c r="AL321" s="195"/>
      <c r="AM321" s="195"/>
      <c r="AN321" s="195"/>
      <c r="AO321" s="195"/>
      <c r="AP321" s="195"/>
      <c r="AQ321" s="195"/>
      <c r="AR321" s="195"/>
      <c r="AS321" s="195"/>
      <c r="AT321" s="195"/>
      <c r="AU321" s="195"/>
      <c r="AV321" s="195"/>
      <c r="AW321" s="195"/>
      <c r="AX321" s="191" t="s">
        <v>515</v>
      </c>
      <c r="AY321" s="191" t="s">
        <v>515</v>
      </c>
      <c r="AZ321" s="207" t="s">
        <v>1378</v>
      </c>
      <c r="BA321" s="188" t="s">
        <v>1379</v>
      </c>
    </row>
    <row r="322" spans="1:53" s="187" customFormat="1">
      <c r="A322" s="188" t="s">
        <v>827</v>
      </c>
      <c r="B322" s="189">
        <v>20416</v>
      </c>
      <c r="C322" s="189">
        <v>20416</v>
      </c>
      <c r="D322" s="269" t="s">
        <v>1380</v>
      </c>
      <c r="E322" s="219" t="s">
        <v>15</v>
      </c>
      <c r="F322" s="191" t="s">
        <v>59</v>
      </c>
      <c r="G322" s="191"/>
      <c r="H322" s="193">
        <f t="shared" si="37"/>
        <v>0</v>
      </c>
      <c r="I322" s="247">
        <v>0</v>
      </c>
      <c r="J322" s="194">
        <f t="shared" si="42"/>
        <v>0</v>
      </c>
      <c r="K322" s="194">
        <f t="shared" si="39"/>
        <v>28.47</v>
      </c>
      <c r="L322" s="247">
        <v>7.8E-2</v>
      </c>
      <c r="M322" s="194">
        <f t="shared" si="40"/>
        <v>2.34</v>
      </c>
      <c r="N322" s="194">
        <f t="shared" si="43"/>
        <v>7.8E-2</v>
      </c>
      <c r="O322" s="195"/>
      <c r="P322" s="195"/>
      <c r="Q322" s="195"/>
      <c r="R322" s="195"/>
      <c r="S322" s="195"/>
      <c r="T322" s="195"/>
      <c r="U322" s="195"/>
      <c r="V322" s="195"/>
      <c r="W322" s="195"/>
      <c r="X322" s="195"/>
      <c r="Y322" s="195"/>
      <c r="Z322" s="195"/>
      <c r="AA322" s="195"/>
      <c r="AB322" s="195"/>
      <c r="AC322" s="196"/>
      <c r="AD322" s="196"/>
      <c r="AE322" s="196"/>
      <c r="AF322" s="196"/>
      <c r="AG322" s="196"/>
      <c r="AH322" s="196"/>
      <c r="AI322" s="196"/>
      <c r="AJ322" s="195"/>
      <c r="AK322" s="195"/>
      <c r="AL322" s="195"/>
      <c r="AM322" s="195"/>
      <c r="AN322" s="195"/>
      <c r="AO322" s="195"/>
      <c r="AP322" s="195"/>
      <c r="AQ322" s="195"/>
      <c r="AR322" s="195"/>
      <c r="AS322" s="195"/>
      <c r="AT322" s="195"/>
      <c r="AU322" s="195"/>
      <c r="AV322" s="195"/>
      <c r="AW322" s="195"/>
      <c r="AX322" s="219">
        <v>20</v>
      </c>
      <c r="AY322" s="293">
        <v>20</v>
      </c>
      <c r="AZ322" s="277" t="s">
        <v>1381</v>
      </c>
      <c r="BA322" s="188" t="s">
        <v>830</v>
      </c>
    </row>
    <row r="323" spans="1:53" s="187" customFormat="1">
      <c r="A323" s="188" t="s">
        <v>827</v>
      </c>
      <c r="B323" s="189">
        <v>20440</v>
      </c>
      <c r="C323" s="189">
        <v>20440</v>
      </c>
      <c r="D323" s="269" t="s">
        <v>1382</v>
      </c>
      <c r="E323" s="191" t="s">
        <v>15</v>
      </c>
      <c r="F323" s="191" t="s">
        <v>59</v>
      </c>
      <c r="G323" s="191"/>
      <c r="H323" s="193">
        <f t="shared" si="37"/>
        <v>0</v>
      </c>
      <c r="I323" s="199">
        <v>0</v>
      </c>
      <c r="J323" s="194">
        <f t="shared" si="42"/>
        <v>0</v>
      </c>
      <c r="K323" s="194">
        <f t="shared" si="39"/>
        <v>85.701999999999998</v>
      </c>
      <c r="L323" s="199">
        <v>0.23480000000000001</v>
      </c>
      <c r="M323" s="194">
        <f t="shared" si="40"/>
        <v>7.0440000000000005</v>
      </c>
      <c r="N323" s="194">
        <f t="shared" si="43"/>
        <v>0.23480000000000001</v>
      </c>
      <c r="O323" s="195"/>
      <c r="P323" s="195"/>
      <c r="Q323" s="195"/>
      <c r="R323" s="195"/>
      <c r="S323" s="195"/>
      <c r="T323" s="195"/>
      <c r="U323" s="195"/>
      <c r="V323" s="195"/>
      <c r="W323" s="195"/>
      <c r="X323" s="195"/>
      <c r="Y323" s="195"/>
      <c r="Z323" s="195"/>
      <c r="AA323" s="195"/>
      <c r="AB323" s="195"/>
      <c r="AC323" s="196"/>
      <c r="AD323" s="196"/>
      <c r="AE323" s="196"/>
      <c r="AF323" s="196"/>
      <c r="AG323" s="196"/>
      <c r="AH323" s="196"/>
      <c r="AI323" s="196"/>
      <c r="AJ323" s="195"/>
      <c r="AK323" s="195"/>
      <c r="AL323" s="195"/>
      <c r="AM323" s="195"/>
      <c r="AN323" s="195"/>
      <c r="AO323" s="195"/>
      <c r="AP323" s="195"/>
      <c r="AQ323" s="195"/>
      <c r="AR323" s="195"/>
      <c r="AS323" s="195"/>
      <c r="AT323" s="195"/>
      <c r="AU323" s="195"/>
      <c r="AV323" s="195"/>
      <c r="AW323" s="195"/>
      <c r="AX323" s="226">
        <v>20</v>
      </c>
      <c r="AY323" s="226" t="s">
        <v>851</v>
      </c>
      <c r="AZ323" s="277" t="s">
        <v>1381</v>
      </c>
      <c r="BA323" s="188" t="s">
        <v>836</v>
      </c>
    </row>
    <row r="324" spans="1:53" s="187" customFormat="1">
      <c r="A324" s="188" t="s">
        <v>827</v>
      </c>
      <c r="B324" s="189">
        <v>20450</v>
      </c>
      <c r="C324" s="189">
        <v>20450</v>
      </c>
      <c r="D324" s="269" t="s">
        <v>1383</v>
      </c>
      <c r="E324" s="191" t="s">
        <v>1279</v>
      </c>
      <c r="F324" s="191" t="s">
        <v>59</v>
      </c>
      <c r="G324" s="192"/>
      <c r="H324" s="193">
        <f t="shared" si="37"/>
        <v>0</v>
      </c>
      <c r="I324" s="199">
        <v>0</v>
      </c>
      <c r="J324" s="194">
        <f t="shared" si="42"/>
        <v>0</v>
      </c>
      <c r="K324" s="194">
        <f t="shared" si="39"/>
        <v>0</v>
      </c>
      <c r="L324" s="199">
        <v>0</v>
      </c>
      <c r="M324" s="194">
        <f t="shared" si="40"/>
        <v>0</v>
      </c>
      <c r="N324" s="194">
        <f t="shared" si="43"/>
        <v>0</v>
      </c>
      <c r="O324" s="195"/>
      <c r="P324" s="195"/>
      <c r="Q324" s="195"/>
      <c r="R324" s="195"/>
      <c r="S324" s="195"/>
      <c r="T324" s="195"/>
      <c r="U324" s="195"/>
      <c r="V324" s="195"/>
      <c r="W324" s="195"/>
      <c r="X324" s="195"/>
      <c r="Y324" s="195"/>
      <c r="Z324" s="195"/>
      <c r="AA324" s="195"/>
      <c r="AB324" s="195"/>
      <c r="AC324" s="196"/>
      <c r="AD324" s="196"/>
      <c r="AE324" s="196"/>
      <c r="AF324" s="196"/>
      <c r="AG324" s="196"/>
      <c r="AH324" s="196"/>
      <c r="AI324" s="196"/>
      <c r="AJ324" s="195"/>
      <c r="AK324" s="195"/>
      <c r="AL324" s="195"/>
      <c r="AM324" s="195"/>
      <c r="AN324" s="195"/>
      <c r="AO324" s="195"/>
      <c r="AP324" s="195"/>
      <c r="AQ324" s="195"/>
      <c r="AR324" s="195"/>
      <c r="AS324" s="195"/>
      <c r="AT324" s="195"/>
      <c r="AU324" s="195"/>
      <c r="AV324" s="195"/>
      <c r="AW324" s="195"/>
      <c r="AX324" s="226" t="s">
        <v>1279</v>
      </c>
      <c r="AY324" s="226" t="s">
        <v>1279</v>
      </c>
      <c r="AZ324" s="277" t="s">
        <v>1384</v>
      </c>
      <c r="BA324" s="188" t="s">
        <v>855</v>
      </c>
    </row>
    <row r="325" spans="1:53" s="187" customFormat="1">
      <c r="A325" s="188" t="s">
        <v>827</v>
      </c>
      <c r="B325" s="189">
        <v>20452</v>
      </c>
      <c r="C325" s="189">
        <v>20452</v>
      </c>
      <c r="D325" s="269" t="s">
        <v>1385</v>
      </c>
      <c r="E325" s="191" t="s">
        <v>15</v>
      </c>
      <c r="F325" s="191" t="s">
        <v>59</v>
      </c>
      <c r="G325" s="192"/>
      <c r="H325" s="193">
        <f t="shared" si="37"/>
        <v>0</v>
      </c>
      <c r="I325" s="199">
        <v>0</v>
      </c>
      <c r="J325" s="194">
        <f t="shared" si="42"/>
        <v>0</v>
      </c>
      <c r="K325" s="194">
        <f t="shared" si="39"/>
        <v>26.097499999999997</v>
      </c>
      <c r="L325" s="199">
        <v>7.1499999999999994E-2</v>
      </c>
      <c r="M325" s="194">
        <f t="shared" si="40"/>
        <v>2.145</v>
      </c>
      <c r="N325" s="194">
        <f t="shared" si="43"/>
        <v>7.1499999999999994E-2</v>
      </c>
      <c r="O325" s="195"/>
      <c r="P325" s="195"/>
      <c r="Q325" s="195"/>
      <c r="R325" s="195"/>
      <c r="S325" s="195"/>
      <c r="T325" s="195"/>
      <c r="U325" s="195"/>
      <c r="V325" s="195"/>
      <c r="W325" s="195"/>
      <c r="X325" s="195"/>
      <c r="Y325" s="195"/>
      <c r="Z325" s="195"/>
      <c r="AA325" s="195"/>
      <c r="AB325" s="195"/>
      <c r="AC325" s="196"/>
      <c r="AD325" s="196"/>
      <c r="AE325" s="196"/>
      <c r="AF325" s="196"/>
      <c r="AG325" s="196"/>
      <c r="AH325" s="196"/>
      <c r="AI325" s="196"/>
      <c r="AJ325" s="195"/>
      <c r="AK325" s="195"/>
      <c r="AL325" s="195"/>
      <c r="AM325" s="195"/>
      <c r="AN325" s="195"/>
      <c r="AO325" s="195"/>
      <c r="AP325" s="195"/>
      <c r="AQ325" s="195"/>
      <c r="AR325" s="195"/>
      <c r="AS325" s="195"/>
      <c r="AT325" s="195"/>
      <c r="AU325" s="195"/>
      <c r="AV325" s="195"/>
      <c r="AW325" s="195"/>
      <c r="AX325" s="226">
        <v>20</v>
      </c>
      <c r="AY325" s="226">
        <v>20</v>
      </c>
      <c r="AZ325" s="277" t="s">
        <v>1386</v>
      </c>
      <c r="BA325" s="188" t="s">
        <v>836</v>
      </c>
    </row>
    <row r="326" spans="1:53" s="187" customFormat="1">
      <c r="A326" s="188" t="s">
        <v>827</v>
      </c>
      <c r="B326" s="189">
        <v>20460</v>
      </c>
      <c r="C326" s="189">
        <v>20460</v>
      </c>
      <c r="D326" s="190" t="s">
        <v>1387</v>
      </c>
      <c r="E326" s="191" t="s">
        <v>15</v>
      </c>
      <c r="F326" s="191" t="s">
        <v>59</v>
      </c>
      <c r="G326" s="191"/>
      <c r="H326" s="193">
        <f t="shared" si="37"/>
        <v>0</v>
      </c>
      <c r="I326" s="199">
        <v>0</v>
      </c>
      <c r="J326" s="194">
        <f t="shared" si="42"/>
        <v>0</v>
      </c>
      <c r="K326" s="194">
        <f t="shared" si="39"/>
        <v>1485.258</v>
      </c>
      <c r="L326" s="199">
        <v>4.0692000000000004</v>
      </c>
      <c r="M326" s="194">
        <f t="shared" si="40"/>
        <v>122.07600000000001</v>
      </c>
      <c r="N326" s="194">
        <f t="shared" si="43"/>
        <v>4.0692000000000004</v>
      </c>
      <c r="O326" s="195"/>
      <c r="P326" s="195"/>
      <c r="Q326" s="195"/>
      <c r="R326" s="195"/>
      <c r="S326" s="195"/>
      <c r="T326" s="195"/>
      <c r="U326" s="195"/>
      <c r="V326" s="195"/>
      <c r="W326" s="195"/>
      <c r="X326" s="195"/>
      <c r="Y326" s="195"/>
      <c r="Z326" s="195"/>
      <c r="AA326" s="195"/>
      <c r="AB326" s="195"/>
      <c r="AC326" s="196"/>
      <c r="AD326" s="196"/>
      <c r="AE326" s="196"/>
      <c r="AF326" s="196"/>
      <c r="AG326" s="196"/>
      <c r="AH326" s="196"/>
      <c r="AI326" s="196"/>
      <c r="AJ326" s="195"/>
      <c r="AK326" s="195"/>
      <c r="AL326" s="195"/>
      <c r="AM326" s="195"/>
      <c r="AN326" s="195"/>
      <c r="AO326" s="195"/>
      <c r="AP326" s="195"/>
      <c r="AQ326" s="195"/>
      <c r="AR326" s="195"/>
      <c r="AS326" s="195"/>
      <c r="AT326" s="195"/>
      <c r="AU326" s="195"/>
      <c r="AV326" s="195"/>
      <c r="AW326" s="195"/>
      <c r="AX326" s="226">
        <v>20</v>
      </c>
      <c r="AY326" s="215" t="s">
        <v>851</v>
      </c>
      <c r="AZ326" s="231" t="s">
        <v>1386</v>
      </c>
      <c r="BA326" s="208" t="s">
        <v>1211</v>
      </c>
    </row>
    <row r="327" spans="1:53" s="187" customFormat="1">
      <c r="A327" s="188" t="s">
        <v>827</v>
      </c>
      <c r="B327" s="189">
        <v>20464</v>
      </c>
      <c r="C327" s="189">
        <v>20464</v>
      </c>
      <c r="D327" s="190" t="s">
        <v>1388</v>
      </c>
      <c r="E327" s="191" t="s">
        <v>15</v>
      </c>
      <c r="F327" s="191" t="s">
        <v>59</v>
      </c>
      <c r="G327" s="191"/>
      <c r="H327" s="193">
        <f t="shared" si="37"/>
        <v>0</v>
      </c>
      <c r="I327" s="199">
        <v>0</v>
      </c>
      <c r="J327" s="194">
        <f t="shared" si="42"/>
        <v>0</v>
      </c>
      <c r="K327" s="194">
        <f t="shared" si="39"/>
        <v>3.7595000000000001</v>
      </c>
      <c r="L327" s="199">
        <v>1.03E-2</v>
      </c>
      <c r="M327" s="194">
        <f t="shared" si="40"/>
        <v>0.309</v>
      </c>
      <c r="N327" s="194">
        <f t="shared" si="43"/>
        <v>1.03E-2</v>
      </c>
      <c r="O327" s="195"/>
      <c r="P327" s="195"/>
      <c r="Q327" s="195"/>
      <c r="R327" s="195"/>
      <c r="S327" s="195"/>
      <c r="T327" s="195"/>
      <c r="U327" s="195"/>
      <c r="V327" s="195"/>
      <c r="W327" s="195"/>
      <c r="X327" s="195"/>
      <c r="Y327" s="195"/>
      <c r="Z327" s="195"/>
      <c r="AA327" s="195"/>
      <c r="AB327" s="195"/>
      <c r="AC327" s="196"/>
      <c r="AD327" s="196"/>
      <c r="AE327" s="196"/>
      <c r="AF327" s="196"/>
      <c r="AG327" s="196"/>
      <c r="AH327" s="196"/>
      <c r="AI327" s="196"/>
      <c r="AJ327" s="195"/>
      <c r="AK327" s="195"/>
      <c r="AL327" s="195"/>
      <c r="AM327" s="195"/>
      <c r="AN327" s="195"/>
      <c r="AO327" s="195"/>
      <c r="AP327" s="195"/>
      <c r="AQ327" s="195"/>
      <c r="AR327" s="195"/>
      <c r="AS327" s="195"/>
      <c r="AT327" s="195"/>
      <c r="AU327" s="195"/>
      <c r="AV327" s="195"/>
      <c r="AW327" s="195"/>
      <c r="AX327" s="226">
        <v>20</v>
      </c>
      <c r="AY327" s="226">
        <v>20</v>
      </c>
      <c r="AZ327" s="231" t="s">
        <v>1386</v>
      </c>
      <c r="BA327" s="208" t="s">
        <v>836</v>
      </c>
    </row>
    <row r="328" spans="1:53" s="187" customFormat="1">
      <c r="A328" s="188" t="s">
        <v>827</v>
      </c>
      <c r="B328" s="189">
        <v>20466</v>
      </c>
      <c r="C328" s="189">
        <v>20466</v>
      </c>
      <c r="D328" s="190" t="s">
        <v>1389</v>
      </c>
      <c r="E328" s="191" t="s">
        <v>1390</v>
      </c>
      <c r="F328" s="191" t="s">
        <v>59</v>
      </c>
      <c r="G328" s="191"/>
      <c r="H328" s="193">
        <f t="shared" si="37"/>
        <v>0</v>
      </c>
      <c r="I328" s="199">
        <v>0</v>
      </c>
      <c r="J328" s="194">
        <f t="shared" si="42"/>
        <v>0</v>
      </c>
      <c r="K328" s="194">
        <f t="shared" si="39"/>
        <v>21.9</v>
      </c>
      <c r="L328" s="199">
        <v>0.06</v>
      </c>
      <c r="M328" s="194">
        <f t="shared" si="40"/>
        <v>1.7999999999999998</v>
      </c>
      <c r="N328" s="194">
        <f t="shared" si="43"/>
        <v>0.06</v>
      </c>
      <c r="O328" s="195"/>
      <c r="P328" s="195"/>
      <c r="Q328" s="195"/>
      <c r="R328" s="195"/>
      <c r="S328" s="195"/>
      <c r="T328" s="195"/>
      <c r="U328" s="195"/>
      <c r="V328" s="195"/>
      <c r="W328" s="195"/>
      <c r="X328" s="195"/>
      <c r="Y328" s="195"/>
      <c r="Z328" s="195"/>
      <c r="AA328" s="195"/>
      <c r="AB328" s="195"/>
      <c r="AC328" s="196"/>
      <c r="AD328" s="196"/>
      <c r="AE328" s="196"/>
      <c r="AF328" s="196"/>
      <c r="AG328" s="196"/>
      <c r="AH328" s="196"/>
      <c r="AI328" s="196"/>
      <c r="AJ328" s="195"/>
      <c r="AK328" s="195"/>
      <c r="AL328" s="195"/>
      <c r="AM328" s="195"/>
      <c r="AN328" s="195"/>
      <c r="AO328" s="195"/>
      <c r="AP328" s="195"/>
      <c r="AQ328" s="195"/>
      <c r="AR328" s="195"/>
      <c r="AS328" s="195"/>
      <c r="AT328" s="195"/>
      <c r="AU328" s="195"/>
      <c r="AV328" s="195"/>
      <c r="AW328" s="195"/>
      <c r="AX328" s="226">
        <v>20</v>
      </c>
      <c r="AY328" s="226" t="s">
        <v>851</v>
      </c>
      <c r="AZ328" s="231" t="s">
        <v>1386</v>
      </c>
      <c r="BA328" s="208" t="s">
        <v>855</v>
      </c>
    </row>
    <row r="329" spans="1:53" s="187" customFormat="1">
      <c r="A329" s="188" t="s">
        <v>827</v>
      </c>
      <c r="B329" s="189">
        <v>20476</v>
      </c>
      <c r="C329" s="189">
        <v>20476</v>
      </c>
      <c r="D329" s="190" t="s">
        <v>1391</v>
      </c>
      <c r="E329" s="191" t="s">
        <v>15</v>
      </c>
      <c r="F329" s="191" t="s">
        <v>59</v>
      </c>
      <c r="G329" s="191"/>
      <c r="H329" s="193">
        <f t="shared" si="37"/>
        <v>0</v>
      </c>
      <c r="I329" s="199">
        <v>0</v>
      </c>
      <c r="J329" s="194">
        <f t="shared" si="42"/>
        <v>0</v>
      </c>
      <c r="K329" s="194">
        <f t="shared" si="39"/>
        <v>0</v>
      </c>
      <c r="L329" s="199">
        <v>0</v>
      </c>
      <c r="M329" s="194">
        <f t="shared" si="40"/>
        <v>0</v>
      </c>
      <c r="N329" s="194">
        <v>0</v>
      </c>
      <c r="O329" s="195"/>
      <c r="P329" s="195"/>
      <c r="Q329" s="195"/>
      <c r="R329" s="195"/>
      <c r="S329" s="195"/>
      <c r="T329" s="195"/>
      <c r="U329" s="195"/>
      <c r="V329" s="195"/>
      <c r="W329" s="195"/>
      <c r="X329" s="195"/>
      <c r="Y329" s="195"/>
      <c r="Z329" s="195"/>
      <c r="AA329" s="195"/>
      <c r="AB329" s="195"/>
      <c r="AC329" s="196"/>
      <c r="AD329" s="196"/>
      <c r="AE329" s="196"/>
      <c r="AF329" s="196"/>
      <c r="AG329" s="196"/>
      <c r="AH329" s="196"/>
      <c r="AI329" s="196"/>
      <c r="AJ329" s="195"/>
      <c r="AK329" s="195"/>
      <c r="AL329" s="195"/>
      <c r="AM329" s="195"/>
      <c r="AN329" s="195"/>
      <c r="AO329" s="195"/>
      <c r="AP329" s="195"/>
      <c r="AQ329" s="195"/>
      <c r="AR329" s="195"/>
      <c r="AS329" s="195"/>
      <c r="AT329" s="195"/>
      <c r="AU329" s="195"/>
      <c r="AV329" s="195"/>
      <c r="AW329" s="195"/>
      <c r="AX329" s="226">
        <v>20</v>
      </c>
      <c r="AY329" s="215" t="s">
        <v>1392</v>
      </c>
      <c r="AZ329" s="231" t="s">
        <v>486</v>
      </c>
      <c r="BA329" s="208" t="s">
        <v>486</v>
      </c>
    </row>
    <row r="330" spans="1:53" s="187" customFormat="1">
      <c r="A330" s="188" t="s">
        <v>827</v>
      </c>
      <c r="B330" s="189">
        <v>20478</v>
      </c>
      <c r="C330" s="189">
        <v>20478</v>
      </c>
      <c r="D330" s="190" t="s">
        <v>1393</v>
      </c>
      <c r="E330" s="191" t="s">
        <v>1394</v>
      </c>
      <c r="F330" s="191" t="s">
        <v>59</v>
      </c>
      <c r="G330" s="191"/>
      <c r="H330" s="193">
        <f t="shared" si="37"/>
        <v>0</v>
      </c>
      <c r="I330" s="199">
        <v>0</v>
      </c>
      <c r="J330" s="194">
        <f t="shared" si="42"/>
        <v>0</v>
      </c>
      <c r="K330" s="194">
        <f t="shared" si="39"/>
        <v>3.3580000000000001</v>
      </c>
      <c r="L330" s="199">
        <v>9.1999999999999998E-3</v>
      </c>
      <c r="M330" s="194">
        <f t="shared" si="40"/>
        <v>0.27600000000000002</v>
      </c>
      <c r="N330" s="194">
        <v>0.27600000000000002</v>
      </c>
      <c r="O330" s="195"/>
      <c r="P330" s="195"/>
      <c r="Q330" s="195"/>
      <c r="R330" s="195"/>
      <c r="S330" s="195"/>
      <c r="T330" s="195"/>
      <c r="U330" s="195"/>
      <c r="V330" s="195"/>
      <c r="W330" s="195"/>
      <c r="X330" s="195"/>
      <c r="Y330" s="195"/>
      <c r="Z330" s="195"/>
      <c r="AA330" s="195"/>
      <c r="AB330" s="195"/>
      <c r="AC330" s="196"/>
      <c r="AD330" s="196"/>
      <c r="AE330" s="196"/>
      <c r="AF330" s="196"/>
      <c r="AG330" s="196"/>
      <c r="AH330" s="196"/>
      <c r="AI330" s="196"/>
      <c r="AJ330" s="195"/>
      <c r="AK330" s="195"/>
      <c r="AL330" s="195"/>
      <c r="AM330" s="195"/>
      <c r="AN330" s="195"/>
      <c r="AO330" s="195"/>
      <c r="AP330" s="195"/>
      <c r="AQ330" s="195"/>
      <c r="AR330" s="195"/>
      <c r="AS330" s="195"/>
      <c r="AT330" s="195"/>
      <c r="AU330" s="195"/>
      <c r="AV330" s="195"/>
      <c r="AW330" s="195"/>
      <c r="AX330" s="226">
        <v>20</v>
      </c>
      <c r="AY330" s="215">
        <v>20</v>
      </c>
      <c r="AZ330" s="231" t="s">
        <v>1395</v>
      </c>
      <c r="BA330" s="208" t="s">
        <v>857</v>
      </c>
    </row>
    <row r="331" spans="1:53" s="187" customFormat="1">
      <c r="A331" s="188" t="s">
        <v>827</v>
      </c>
      <c r="B331" s="189">
        <v>20481</v>
      </c>
      <c r="C331" s="189">
        <v>20481</v>
      </c>
      <c r="D331" s="190" t="s">
        <v>1396</v>
      </c>
      <c r="E331" s="191" t="s">
        <v>15</v>
      </c>
      <c r="F331" s="191" t="s">
        <v>59</v>
      </c>
      <c r="G331" s="191"/>
      <c r="H331" s="193">
        <f t="shared" si="37"/>
        <v>0</v>
      </c>
      <c r="I331" s="199">
        <v>0</v>
      </c>
      <c r="J331" s="194">
        <f t="shared" si="42"/>
        <v>0</v>
      </c>
      <c r="K331" s="194">
        <f t="shared" si="39"/>
        <v>36.5</v>
      </c>
      <c r="L331" s="199">
        <v>0.1</v>
      </c>
      <c r="M331" s="194">
        <f t="shared" si="40"/>
        <v>3</v>
      </c>
      <c r="N331" s="194">
        <f>L331-I331</f>
        <v>0.1</v>
      </c>
      <c r="O331" s="195"/>
      <c r="P331" s="195"/>
      <c r="Q331" s="195"/>
      <c r="R331" s="195"/>
      <c r="S331" s="195"/>
      <c r="T331" s="195"/>
      <c r="U331" s="195"/>
      <c r="V331" s="195"/>
      <c r="W331" s="195"/>
      <c r="X331" s="195"/>
      <c r="Y331" s="195"/>
      <c r="Z331" s="195"/>
      <c r="AA331" s="195"/>
      <c r="AB331" s="195"/>
      <c r="AC331" s="196"/>
      <c r="AD331" s="196"/>
      <c r="AE331" s="196"/>
      <c r="AF331" s="196"/>
      <c r="AG331" s="196"/>
      <c r="AH331" s="196"/>
      <c r="AI331" s="196"/>
      <c r="AJ331" s="195"/>
      <c r="AK331" s="195"/>
      <c r="AL331" s="195"/>
      <c r="AM331" s="195"/>
      <c r="AN331" s="195"/>
      <c r="AO331" s="195"/>
      <c r="AP331" s="195"/>
      <c r="AQ331" s="195"/>
      <c r="AR331" s="195"/>
      <c r="AS331" s="195"/>
      <c r="AT331" s="195"/>
      <c r="AU331" s="195"/>
      <c r="AV331" s="195"/>
      <c r="AW331" s="195"/>
      <c r="AX331" s="226">
        <v>20</v>
      </c>
      <c r="AY331" s="215" t="s">
        <v>851</v>
      </c>
      <c r="AZ331" s="231" t="s">
        <v>1386</v>
      </c>
      <c r="BA331" s="208" t="s">
        <v>833</v>
      </c>
    </row>
    <row r="332" spans="1:53" s="187" customFormat="1">
      <c r="A332" s="188" t="s">
        <v>827</v>
      </c>
      <c r="B332" s="213">
        <v>20481</v>
      </c>
      <c r="C332" s="213">
        <v>20481</v>
      </c>
      <c r="D332" s="214" t="s">
        <v>1396</v>
      </c>
      <c r="E332" s="191" t="s">
        <v>15</v>
      </c>
      <c r="F332" s="191" t="s">
        <v>59</v>
      </c>
      <c r="G332" s="224"/>
      <c r="H332" s="193">
        <f t="shared" si="37"/>
        <v>78.219499999999996</v>
      </c>
      <c r="I332" s="199">
        <v>0.21429999999999999</v>
      </c>
      <c r="J332" s="194">
        <f t="shared" si="42"/>
        <v>6.4289999999999994</v>
      </c>
      <c r="K332" s="194">
        <f t="shared" si="39"/>
        <v>78.219499999999996</v>
      </c>
      <c r="L332" s="199">
        <v>0.21429999999999999</v>
      </c>
      <c r="M332" s="194">
        <f t="shared" si="40"/>
        <v>6.4289999999999994</v>
      </c>
      <c r="N332" s="194">
        <v>0</v>
      </c>
      <c r="O332" s="195"/>
      <c r="P332" s="195"/>
      <c r="Q332" s="195"/>
      <c r="R332" s="195"/>
      <c r="S332" s="195"/>
      <c r="T332" s="195"/>
      <c r="U332" s="195"/>
      <c r="V332" s="195"/>
      <c r="W332" s="195"/>
      <c r="X332" s="195"/>
      <c r="Y332" s="195"/>
      <c r="Z332" s="195"/>
      <c r="AA332" s="195"/>
      <c r="AB332" s="195"/>
      <c r="AC332" s="196"/>
      <c r="AD332" s="196"/>
      <c r="AE332" s="196"/>
      <c r="AF332" s="196"/>
      <c r="AG332" s="196"/>
      <c r="AH332" s="196"/>
      <c r="AI332" s="196"/>
      <c r="AJ332" s="195"/>
      <c r="AK332" s="195"/>
      <c r="AL332" s="195"/>
      <c r="AM332" s="195"/>
      <c r="AN332" s="195"/>
      <c r="AO332" s="195"/>
      <c r="AP332" s="195"/>
      <c r="AQ332" s="195"/>
      <c r="AR332" s="195"/>
      <c r="AS332" s="195"/>
      <c r="AT332" s="195"/>
      <c r="AU332" s="195"/>
      <c r="AV332" s="195"/>
      <c r="AW332" s="195"/>
      <c r="AX332" s="241">
        <v>20</v>
      </c>
      <c r="AY332" s="225" t="s">
        <v>515</v>
      </c>
      <c r="AZ332" s="234" t="s">
        <v>1397</v>
      </c>
      <c r="BA332" s="223" t="s">
        <v>836</v>
      </c>
    </row>
    <row r="333" spans="1:53" s="187" customFormat="1">
      <c r="A333" s="188" t="s">
        <v>827</v>
      </c>
      <c r="B333" s="213">
        <v>20484</v>
      </c>
      <c r="C333" s="213">
        <v>20484</v>
      </c>
      <c r="D333" s="214" t="s">
        <v>1398</v>
      </c>
      <c r="E333" s="191" t="s">
        <v>15</v>
      </c>
      <c r="F333" s="191" t="s">
        <v>59</v>
      </c>
      <c r="G333" s="224"/>
      <c r="H333" s="193">
        <f t="shared" si="37"/>
        <v>0</v>
      </c>
      <c r="I333" s="199">
        <v>0</v>
      </c>
      <c r="J333" s="194">
        <f t="shared" si="42"/>
        <v>0</v>
      </c>
      <c r="K333" s="194">
        <f t="shared" si="39"/>
        <v>16.425000000000001</v>
      </c>
      <c r="L333" s="199">
        <v>4.4999999999999998E-2</v>
      </c>
      <c r="M333" s="194">
        <f t="shared" si="40"/>
        <v>1.3499999999999999</v>
      </c>
      <c r="N333" s="194">
        <f t="shared" ref="N333:N343" si="44">L333-I333</f>
        <v>4.4999999999999998E-2</v>
      </c>
      <c r="O333" s="195"/>
      <c r="P333" s="195"/>
      <c r="Q333" s="195"/>
      <c r="R333" s="195"/>
      <c r="S333" s="195"/>
      <c r="T333" s="195"/>
      <c r="U333" s="195"/>
      <c r="V333" s="195"/>
      <c r="W333" s="195"/>
      <c r="X333" s="195"/>
      <c r="Y333" s="195"/>
      <c r="Z333" s="195"/>
      <c r="AA333" s="195"/>
      <c r="AB333" s="195"/>
      <c r="AC333" s="196"/>
      <c r="AD333" s="196"/>
      <c r="AE333" s="196"/>
      <c r="AF333" s="196"/>
      <c r="AG333" s="196"/>
      <c r="AH333" s="196"/>
      <c r="AI333" s="196"/>
      <c r="AJ333" s="195"/>
      <c r="AK333" s="195"/>
      <c r="AL333" s="195"/>
      <c r="AM333" s="195"/>
      <c r="AN333" s="195"/>
      <c r="AO333" s="195"/>
      <c r="AP333" s="195"/>
      <c r="AQ333" s="195"/>
      <c r="AR333" s="195"/>
      <c r="AS333" s="195"/>
      <c r="AT333" s="195"/>
      <c r="AU333" s="195"/>
      <c r="AV333" s="195"/>
      <c r="AW333" s="195"/>
      <c r="AX333" s="241">
        <v>20</v>
      </c>
      <c r="AY333" s="225">
        <v>20</v>
      </c>
      <c r="AZ333" s="234" t="s">
        <v>1399</v>
      </c>
      <c r="BA333" s="245" t="s">
        <v>833</v>
      </c>
    </row>
    <row r="334" spans="1:53" s="187" customFormat="1">
      <c r="A334" s="188" t="s">
        <v>827</v>
      </c>
      <c r="B334" s="189">
        <v>20490</v>
      </c>
      <c r="C334" s="189">
        <v>20490</v>
      </c>
      <c r="D334" s="190" t="s">
        <v>1117</v>
      </c>
      <c r="E334" s="191" t="s">
        <v>15</v>
      </c>
      <c r="F334" s="191" t="s">
        <v>59</v>
      </c>
      <c r="G334" s="191"/>
      <c r="H334" s="193">
        <v>3.7229999999999999</v>
      </c>
      <c r="I334" s="199">
        <v>0.01</v>
      </c>
      <c r="J334" s="194">
        <v>0.30599999999999999</v>
      </c>
      <c r="K334" s="194">
        <v>3.7229999999999999</v>
      </c>
      <c r="L334" s="199">
        <v>0.01</v>
      </c>
      <c r="M334" s="194">
        <v>0.30599999999999999</v>
      </c>
      <c r="N334" s="194">
        <f t="shared" si="44"/>
        <v>0</v>
      </c>
      <c r="O334" s="195"/>
      <c r="P334" s="195"/>
      <c r="Q334" s="195"/>
      <c r="R334" s="195"/>
      <c r="S334" s="195"/>
      <c r="T334" s="195"/>
      <c r="U334" s="195"/>
      <c r="V334" s="195"/>
      <c r="W334" s="195"/>
      <c r="X334" s="195"/>
      <c r="Y334" s="195"/>
      <c r="Z334" s="195"/>
      <c r="AA334" s="195"/>
      <c r="AB334" s="195"/>
      <c r="AC334" s="196"/>
      <c r="AD334" s="196"/>
      <c r="AE334" s="196"/>
      <c r="AF334" s="196"/>
      <c r="AG334" s="196"/>
      <c r="AH334" s="196"/>
      <c r="AI334" s="196"/>
      <c r="AJ334" s="195"/>
      <c r="AK334" s="195"/>
      <c r="AL334" s="195"/>
      <c r="AM334" s="195"/>
      <c r="AN334" s="195"/>
      <c r="AO334" s="195"/>
      <c r="AP334" s="195"/>
      <c r="AQ334" s="195"/>
      <c r="AR334" s="195"/>
      <c r="AS334" s="195"/>
      <c r="AT334" s="195"/>
      <c r="AU334" s="195"/>
      <c r="AV334" s="195"/>
      <c r="AW334" s="195"/>
      <c r="AX334" s="226">
        <v>20</v>
      </c>
      <c r="AY334" s="215">
        <v>20</v>
      </c>
      <c r="AZ334" s="231" t="s">
        <v>852</v>
      </c>
      <c r="BA334" s="208" t="s">
        <v>830</v>
      </c>
    </row>
    <row r="335" spans="1:53" s="187" customFormat="1">
      <c r="A335" s="188" t="s">
        <v>827</v>
      </c>
      <c r="B335" s="189">
        <v>20492</v>
      </c>
      <c r="C335" s="189">
        <v>20492</v>
      </c>
      <c r="D335" s="190" t="s">
        <v>1400</v>
      </c>
      <c r="E335" s="191" t="s">
        <v>15</v>
      </c>
      <c r="F335" s="191" t="s">
        <v>59</v>
      </c>
      <c r="G335" s="191"/>
      <c r="H335" s="193">
        <f t="shared" ref="H335:H343" si="45">I335*365</f>
        <v>0</v>
      </c>
      <c r="I335" s="199">
        <v>0</v>
      </c>
      <c r="J335" s="194">
        <f t="shared" ref="J335:J343" si="46">I335*30</f>
        <v>0</v>
      </c>
      <c r="K335" s="194">
        <f t="shared" ref="K335:K343" si="47">L335*365</f>
        <v>36.5</v>
      </c>
      <c r="L335" s="199">
        <v>0.1</v>
      </c>
      <c r="M335" s="194">
        <f t="shared" ref="M335:M343" si="48">L335*30</f>
        <v>3</v>
      </c>
      <c r="N335" s="194">
        <f t="shared" si="44"/>
        <v>0.1</v>
      </c>
      <c r="O335" s="195"/>
      <c r="P335" s="195"/>
      <c r="Q335" s="195"/>
      <c r="R335" s="195"/>
      <c r="S335" s="195"/>
      <c r="T335" s="195"/>
      <c r="U335" s="195"/>
      <c r="V335" s="195"/>
      <c r="W335" s="195"/>
      <c r="X335" s="195"/>
      <c r="Y335" s="195"/>
      <c r="Z335" s="195"/>
      <c r="AA335" s="195"/>
      <c r="AB335" s="195"/>
      <c r="AC335" s="196"/>
      <c r="AD335" s="196"/>
      <c r="AE335" s="196"/>
      <c r="AF335" s="196"/>
      <c r="AG335" s="196"/>
      <c r="AH335" s="196"/>
      <c r="AI335" s="196"/>
      <c r="AJ335" s="195"/>
      <c r="AK335" s="195"/>
      <c r="AL335" s="195"/>
      <c r="AM335" s="195"/>
      <c r="AN335" s="195"/>
      <c r="AO335" s="195"/>
      <c r="AP335" s="195"/>
      <c r="AQ335" s="195"/>
      <c r="AR335" s="195"/>
      <c r="AS335" s="195"/>
      <c r="AT335" s="195"/>
      <c r="AU335" s="195"/>
      <c r="AV335" s="195"/>
      <c r="AW335" s="195"/>
      <c r="AX335" s="226">
        <v>20</v>
      </c>
      <c r="AY335" s="215" t="s">
        <v>851</v>
      </c>
      <c r="AZ335" s="231" t="s">
        <v>1386</v>
      </c>
      <c r="BA335" s="208" t="s">
        <v>878</v>
      </c>
    </row>
    <row r="336" spans="1:53" s="187" customFormat="1">
      <c r="A336" s="188" t="s">
        <v>827</v>
      </c>
      <c r="B336" s="189">
        <v>20503</v>
      </c>
      <c r="C336" s="189">
        <v>20503</v>
      </c>
      <c r="D336" s="190" t="s">
        <v>1222</v>
      </c>
      <c r="E336" s="191" t="s">
        <v>15</v>
      </c>
      <c r="F336" s="191" t="s">
        <v>59</v>
      </c>
      <c r="G336" s="191"/>
      <c r="H336" s="193">
        <f t="shared" si="45"/>
        <v>0</v>
      </c>
      <c r="I336" s="199">
        <v>0</v>
      </c>
      <c r="J336" s="194">
        <f t="shared" si="46"/>
        <v>0</v>
      </c>
      <c r="K336" s="194">
        <f t="shared" si="47"/>
        <v>7.2270000000000003</v>
      </c>
      <c r="L336" s="199">
        <v>1.9800000000000002E-2</v>
      </c>
      <c r="M336" s="194">
        <f t="shared" si="48"/>
        <v>0.59400000000000008</v>
      </c>
      <c r="N336" s="194">
        <f t="shared" si="44"/>
        <v>1.9800000000000002E-2</v>
      </c>
      <c r="O336" s="195"/>
      <c r="P336" s="195"/>
      <c r="Q336" s="195"/>
      <c r="R336" s="195"/>
      <c r="S336" s="195"/>
      <c r="T336" s="195"/>
      <c r="U336" s="195"/>
      <c r="V336" s="195"/>
      <c r="W336" s="195"/>
      <c r="X336" s="195"/>
      <c r="Y336" s="195"/>
      <c r="Z336" s="195"/>
      <c r="AA336" s="195"/>
      <c r="AB336" s="195"/>
      <c r="AC336" s="196"/>
      <c r="AD336" s="196"/>
      <c r="AE336" s="196"/>
      <c r="AF336" s="196"/>
      <c r="AG336" s="196"/>
      <c r="AH336" s="196"/>
      <c r="AI336" s="196"/>
      <c r="AJ336" s="195"/>
      <c r="AK336" s="195"/>
      <c r="AL336" s="195"/>
      <c r="AM336" s="195"/>
      <c r="AN336" s="195"/>
      <c r="AO336" s="195"/>
      <c r="AP336" s="195"/>
      <c r="AQ336" s="195"/>
      <c r="AR336" s="195"/>
      <c r="AS336" s="195"/>
      <c r="AT336" s="195"/>
      <c r="AU336" s="195"/>
      <c r="AV336" s="195"/>
      <c r="AW336" s="195"/>
      <c r="AX336" s="226">
        <v>20</v>
      </c>
      <c r="AY336" s="215">
        <v>20</v>
      </c>
      <c r="AZ336" s="231" t="s">
        <v>1401</v>
      </c>
      <c r="BA336" s="208" t="s">
        <v>878</v>
      </c>
    </row>
    <row r="337" spans="1:53" s="187" customFormat="1">
      <c r="A337" s="188" t="s">
        <v>827</v>
      </c>
      <c r="B337" s="189">
        <v>20507</v>
      </c>
      <c r="C337" s="189">
        <v>20507</v>
      </c>
      <c r="D337" s="190" t="s">
        <v>1402</v>
      </c>
      <c r="E337" s="191" t="s">
        <v>15</v>
      </c>
      <c r="F337" s="191" t="s">
        <v>59</v>
      </c>
      <c r="G337" s="191"/>
      <c r="H337" s="193">
        <f t="shared" si="45"/>
        <v>0</v>
      </c>
      <c r="I337" s="199">
        <v>0</v>
      </c>
      <c r="J337" s="194">
        <f t="shared" si="46"/>
        <v>0</v>
      </c>
      <c r="K337" s="194">
        <f t="shared" si="47"/>
        <v>15.6585</v>
      </c>
      <c r="L337" s="199">
        <v>4.2900000000000001E-2</v>
      </c>
      <c r="M337" s="194">
        <f t="shared" si="48"/>
        <v>1.2869999999999999</v>
      </c>
      <c r="N337" s="194">
        <f t="shared" si="44"/>
        <v>4.2900000000000001E-2</v>
      </c>
      <c r="O337" s="195"/>
      <c r="P337" s="195"/>
      <c r="Q337" s="195"/>
      <c r="R337" s="195"/>
      <c r="S337" s="195"/>
      <c r="T337" s="195"/>
      <c r="U337" s="195"/>
      <c r="V337" s="195"/>
      <c r="W337" s="195"/>
      <c r="X337" s="195"/>
      <c r="Y337" s="195"/>
      <c r="Z337" s="195"/>
      <c r="AA337" s="195"/>
      <c r="AB337" s="195"/>
      <c r="AC337" s="196"/>
      <c r="AD337" s="196"/>
      <c r="AE337" s="196"/>
      <c r="AF337" s="196"/>
      <c r="AG337" s="196"/>
      <c r="AH337" s="196"/>
      <c r="AI337" s="196"/>
      <c r="AJ337" s="195"/>
      <c r="AK337" s="195"/>
      <c r="AL337" s="195"/>
      <c r="AM337" s="195"/>
      <c r="AN337" s="195"/>
      <c r="AO337" s="195"/>
      <c r="AP337" s="195"/>
      <c r="AQ337" s="195"/>
      <c r="AR337" s="195"/>
      <c r="AS337" s="195"/>
      <c r="AT337" s="195"/>
      <c r="AU337" s="195"/>
      <c r="AV337" s="195"/>
      <c r="AW337" s="195"/>
      <c r="AX337" s="226">
        <v>10</v>
      </c>
      <c r="AY337" s="215" t="s">
        <v>851</v>
      </c>
      <c r="AZ337" s="231" t="s">
        <v>852</v>
      </c>
      <c r="BA337" s="208" t="s">
        <v>833</v>
      </c>
    </row>
    <row r="338" spans="1:53" s="187" customFormat="1">
      <c r="A338" s="188" t="s">
        <v>827</v>
      </c>
      <c r="B338" s="189">
        <v>20531</v>
      </c>
      <c r="C338" s="189">
        <v>20531</v>
      </c>
      <c r="D338" s="190" t="s">
        <v>1403</v>
      </c>
      <c r="E338" s="191" t="s">
        <v>1404</v>
      </c>
      <c r="F338" s="191" t="s">
        <v>58</v>
      </c>
      <c r="G338" s="191"/>
      <c r="H338" s="193">
        <f t="shared" si="45"/>
        <v>0</v>
      </c>
      <c r="I338" s="199">
        <v>0</v>
      </c>
      <c r="J338" s="194">
        <f t="shared" si="46"/>
        <v>0</v>
      </c>
      <c r="K338" s="194">
        <f t="shared" si="47"/>
        <v>0</v>
      </c>
      <c r="L338" s="199">
        <v>0</v>
      </c>
      <c r="M338" s="194">
        <f t="shared" si="48"/>
        <v>0</v>
      </c>
      <c r="N338" s="194">
        <f t="shared" si="44"/>
        <v>0</v>
      </c>
      <c r="O338" s="195"/>
      <c r="P338" s="195"/>
      <c r="Q338" s="195"/>
      <c r="R338" s="195"/>
      <c r="S338" s="195"/>
      <c r="T338" s="195"/>
      <c r="U338" s="195"/>
      <c r="V338" s="195"/>
      <c r="W338" s="195"/>
      <c r="X338" s="195"/>
      <c r="Y338" s="195"/>
      <c r="Z338" s="195"/>
      <c r="AA338" s="195"/>
      <c r="AB338" s="195"/>
      <c r="AC338" s="196"/>
      <c r="AD338" s="196"/>
      <c r="AE338" s="196"/>
      <c r="AF338" s="196"/>
      <c r="AG338" s="196"/>
      <c r="AH338" s="196"/>
      <c r="AI338" s="196"/>
      <c r="AJ338" s="195"/>
      <c r="AK338" s="195"/>
      <c r="AL338" s="195"/>
      <c r="AM338" s="195"/>
      <c r="AN338" s="195"/>
      <c r="AO338" s="195"/>
      <c r="AP338" s="195"/>
      <c r="AQ338" s="195"/>
      <c r="AR338" s="195"/>
      <c r="AS338" s="195"/>
      <c r="AT338" s="195"/>
      <c r="AU338" s="195"/>
      <c r="AV338" s="195"/>
      <c r="AW338" s="195"/>
      <c r="AX338" s="226">
        <v>20</v>
      </c>
      <c r="AY338" s="215" t="s">
        <v>851</v>
      </c>
      <c r="AZ338" s="231" t="s">
        <v>1405</v>
      </c>
      <c r="BA338" s="208" t="s">
        <v>830</v>
      </c>
    </row>
    <row r="339" spans="1:53" s="187" customFormat="1">
      <c r="A339" s="188" t="s">
        <v>827</v>
      </c>
      <c r="B339" s="189">
        <v>20532</v>
      </c>
      <c r="C339" s="189">
        <v>20532</v>
      </c>
      <c r="D339" s="190" t="s">
        <v>1406</v>
      </c>
      <c r="E339" s="191" t="s">
        <v>1407</v>
      </c>
      <c r="F339" s="191" t="s">
        <v>59</v>
      </c>
      <c r="G339" s="191"/>
      <c r="H339" s="193">
        <f t="shared" si="45"/>
        <v>0</v>
      </c>
      <c r="I339" s="199">
        <v>0</v>
      </c>
      <c r="J339" s="194">
        <f t="shared" si="46"/>
        <v>0</v>
      </c>
      <c r="K339" s="194">
        <f t="shared" si="47"/>
        <v>3.7230000000000003</v>
      </c>
      <c r="L339" s="199">
        <v>1.0200000000000001E-2</v>
      </c>
      <c r="M339" s="194">
        <f t="shared" si="48"/>
        <v>0.30600000000000005</v>
      </c>
      <c r="N339" s="194">
        <f t="shared" si="44"/>
        <v>1.0200000000000001E-2</v>
      </c>
      <c r="O339" s="195"/>
      <c r="P339" s="195"/>
      <c r="Q339" s="195"/>
      <c r="R339" s="195"/>
      <c r="S339" s="195"/>
      <c r="T339" s="195"/>
      <c r="U339" s="195"/>
      <c r="V339" s="195"/>
      <c r="W339" s="195"/>
      <c r="X339" s="195"/>
      <c r="Y339" s="195"/>
      <c r="Z339" s="195"/>
      <c r="AA339" s="195"/>
      <c r="AB339" s="195"/>
      <c r="AC339" s="196"/>
      <c r="AD339" s="196"/>
      <c r="AE339" s="196"/>
      <c r="AF339" s="196"/>
      <c r="AG339" s="196"/>
      <c r="AH339" s="196"/>
      <c r="AI339" s="196"/>
      <c r="AJ339" s="195"/>
      <c r="AK339" s="195"/>
      <c r="AL339" s="195"/>
      <c r="AM339" s="195"/>
      <c r="AN339" s="195"/>
      <c r="AO339" s="195"/>
      <c r="AP339" s="195"/>
      <c r="AQ339" s="195"/>
      <c r="AR339" s="195"/>
      <c r="AS339" s="195"/>
      <c r="AT339" s="195"/>
      <c r="AU339" s="195"/>
      <c r="AV339" s="195"/>
      <c r="AW339" s="195"/>
      <c r="AX339" s="226">
        <v>20</v>
      </c>
      <c r="AY339" s="215">
        <v>20</v>
      </c>
      <c r="AZ339" s="231" t="s">
        <v>1405</v>
      </c>
      <c r="BA339" s="208" t="s">
        <v>833</v>
      </c>
    </row>
    <row r="340" spans="1:53" s="187" customFormat="1">
      <c r="A340" s="188" t="s">
        <v>827</v>
      </c>
      <c r="B340" s="191">
        <v>20592</v>
      </c>
      <c r="C340" s="191">
        <v>20592</v>
      </c>
      <c r="D340" s="190" t="s">
        <v>1408</v>
      </c>
      <c r="E340" s="191" t="s">
        <v>15</v>
      </c>
      <c r="F340" s="191" t="s">
        <v>58</v>
      </c>
      <c r="G340" s="191" t="s">
        <v>782</v>
      </c>
      <c r="H340" s="193">
        <f t="shared" si="45"/>
        <v>3.5039999999999996</v>
      </c>
      <c r="I340" s="199">
        <v>9.5999999999999992E-3</v>
      </c>
      <c r="J340" s="194">
        <f t="shared" si="46"/>
        <v>0.28799999999999998</v>
      </c>
      <c r="K340" s="194">
        <f t="shared" si="47"/>
        <v>3.5039999999999996</v>
      </c>
      <c r="L340" s="199">
        <v>9.5999999999999992E-3</v>
      </c>
      <c r="M340" s="194">
        <f t="shared" si="48"/>
        <v>0.28799999999999998</v>
      </c>
      <c r="N340" s="194">
        <f t="shared" si="44"/>
        <v>0</v>
      </c>
      <c r="O340" s="195"/>
      <c r="P340" s="195"/>
      <c r="Q340" s="195"/>
      <c r="R340" s="195"/>
      <c r="S340" s="195"/>
      <c r="T340" s="195"/>
      <c r="U340" s="195"/>
      <c r="V340" s="195"/>
      <c r="W340" s="195"/>
      <c r="X340" s="195"/>
      <c r="Y340" s="195"/>
      <c r="Z340" s="195"/>
      <c r="AA340" s="195"/>
      <c r="AB340" s="195"/>
      <c r="AC340" s="196"/>
      <c r="AD340" s="196"/>
      <c r="AE340" s="196"/>
      <c r="AF340" s="196"/>
      <c r="AG340" s="196"/>
      <c r="AH340" s="196"/>
      <c r="AI340" s="196"/>
      <c r="AJ340" s="195"/>
      <c r="AK340" s="195"/>
      <c r="AL340" s="195"/>
      <c r="AM340" s="195"/>
      <c r="AN340" s="195"/>
      <c r="AO340" s="195"/>
      <c r="AP340" s="195"/>
      <c r="AQ340" s="195"/>
      <c r="AR340" s="195"/>
      <c r="AS340" s="195"/>
      <c r="AT340" s="195"/>
      <c r="AU340" s="195"/>
      <c r="AV340" s="195"/>
      <c r="AW340" s="195"/>
      <c r="AX340" s="191" t="s">
        <v>482</v>
      </c>
      <c r="AY340" s="191" t="s">
        <v>482</v>
      </c>
      <c r="AZ340" s="190" t="s">
        <v>1409</v>
      </c>
      <c r="BA340" s="190" t="s">
        <v>1410</v>
      </c>
    </row>
    <row r="341" spans="1:53" s="187" customFormat="1" ht="37.5">
      <c r="A341" s="188" t="s">
        <v>827</v>
      </c>
      <c r="B341" s="219">
        <v>20601</v>
      </c>
      <c r="C341" s="219">
        <v>20601</v>
      </c>
      <c r="D341" s="227" t="s">
        <v>1411</v>
      </c>
      <c r="E341" s="191" t="s">
        <v>15</v>
      </c>
      <c r="F341" s="191" t="s">
        <v>59</v>
      </c>
      <c r="G341" s="191" t="s">
        <v>782</v>
      </c>
      <c r="H341" s="193">
        <f t="shared" si="45"/>
        <v>0</v>
      </c>
      <c r="I341" s="194">
        <v>0</v>
      </c>
      <c r="J341" s="194">
        <f t="shared" si="46"/>
        <v>0</v>
      </c>
      <c r="K341" s="194">
        <f t="shared" si="47"/>
        <v>30.076000000000001</v>
      </c>
      <c r="L341" s="194">
        <v>8.2400000000000001E-2</v>
      </c>
      <c r="M341" s="194">
        <f t="shared" si="48"/>
        <v>2.472</v>
      </c>
      <c r="N341" s="194">
        <f t="shared" si="44"/>
        <v>8.2400000000000001E-2</v>
      </c>
      <c r="O341" s="195"/>
      <c r="P341" s="195"/>
      <c r="Q341" s="195"/>
      <c r="R341" s="195"/>
      <c r="S341" s="195"/>
      <c r="T341" s="195"/>
      <c r="U341" s="195"/>
      <c r="V341" s="195"/>
      <c r="W341" s="195"/>
      <c r="X341" s="195"/>
      <c r="Y341" s="195"/>
      <c r="Z341" s="195"/>
      <c r="AA341" s="195"/>
      <c r="AB341" s="195"/>
      <c r="AC341" s="196"/>
      <c r="AD341" s="196"/>
      <c r="AE341" s="196"/>
      <c r="AF341" s="196"/>
      <c r="AG341" s="196"/>
      <c r="AH341" s="196"/>
      <c r="AI341" s="196"/>
      <c r="AJ341" s="195"/>
      <c r="AK341" s="195"/>
      <c r="AL341" s="195"/>
      <c r="AM341" s="195"/>
      <c r="AN341" s="195"/>
      <c r="AO341" s="195"/>
      <c r="AP341" s="195"/>
      <c r="AQ341" s="195"/>
      <c r="AR341" s="195"/>
      <c r="AS341" s="195"/>
      <c r="AT341" s="195"/>
      <c r="AU341" s="195"/>
      <c r="AV341" s="195"/>
      <c r="AW341" s="195"/>
      <c r="AX341" s="191">
        <v>20</v>
      </c>
      <c r="AY341" s="215" t="s">
        <v>851</v>
      </c>
      <c r="AZ341" s="207" t="s">
        <v>1412</v>
      </c>
      <c r="BA341" s="294" t="s">
        <v>830</v>
      </c>
    </row>
    <row r="342" spans="1:53" s="187" customFormat="1">
      <c r="A342" s="188" t="s">
        <v>827</v>
      </c>
      <c r="B342" s="219">
        <v>20617</v>
      </c>
      <c r="C342" s="219">
        <v>20617</v>
      </c>
      <c r="D342" s="227" t="s">
        <v>1413</v>
      </c>
      <c r="E342" s="191" t="s">
        <v>15</v>
      </c>
      <c r="F342" s="191" t="s">
        <v>1414</v>
      </c>
      <c r="G342" s="191" t="s">
        <v>782</v>
      </c>
      <c r="H342" s="193">
        <f t="shared" si="45"/>
        <v>0</v>
      </c>
      <c r="I342" s="194">
        <v>0</v>
      </c>
      <c r="J342" s="194">
        <f t="shared" si="46"/>
        <v>0</v>
      </c>
      <c r="K342" s="194">
        <f t="shared" si="47"/>
        <v>8.3949999999999996</v>
      </c>
      <c r="L342" s="194">
        <v>2.3E-2</v>
      </c>
      <c r="M342" s="194">
        <f t="shared" si="48"/>
        <v>0.69</v>
      </c>
      <c r="N342" s="194">
        <f t="shared" si="44"/>
        <v>2.3E-2</v>
      </c>
      <c r="O342" s="195"/>
      <c r="P342" s="195"/>
      <c r="Q342" s="195"/>
      <c r="R342" s="195"/>
      <c r="S342" s="195"/>
      <c r="T342" s="195"/>
      <c r="U342" s="195"/>
      <c r="V342" s="195"/>
      <c r="W342" s="195"/>
      <c r="X342" s="195"/>
      <c r="Y342" s="195"/>
      <c r="Z342" s="195"/>
      <c r="AA342" s="195"/>
      <c r="AB342" s="195"/>
      <c r="AC342" s="196"/>
      <c r="AD342" s="196"/>
      <c r="AE342" s="196"/>
      <c r="AF342" s="196"/>
      <c r="AG342" s="196"/>
      <c r="AH342" s="196"/>
      <c r="AI342" s="196"/>
      <c r="AJ342" s="195"/>
      <c r="AK342" s="195"/>
      <c r="AL342" s="195"/>
      <c r="AM342" s="195"/>
      <c r="AN342" s="195"/>
      <c r="AO342" s="195"/>
      <c r="AP342" s="195"/>
      <c r="AQ342" s="195"/>
      <c r="AR342" s="195"/>
      <c r="AS342" s="195"/>
      <c r="AT342" s="195"/>
      <c r="AU342" s="195"/>
      <c r="AV342" s="195"/>
      <c r="AW342" s="195"/>
      <c r="AX342" s="191">
        <v>10</v>
      </c>
      <c r="AY342" s="215" t="s">
        <v>851</v>
      </c>
      <c r="AZ342" s="207" t="s">
        <v>1405</v>
      </c>
      <c r="BA342" s="294" t="s">
        <v>842</v>
      </c>
    </row>
    <row r="343" spans="1:53" s="187" customFormat="1" ht="37.5">
      <c r="A343" s="188" t="s">
        <v>827</v>
      </c>
      <c r="B343" s="219">
        <v>20618</v>
      </c>
      <c r="C343" s="219">
        <v>20618</v>
      </c>
      <c r="D343" s="227" t="s">
        <v>1415</v>
      </c>
      <c r="E343" s="191" t="s">
        <v>1269</v>
      </c>
      <c r="F343" s="191" t="s">
        <v>59</v>
      </c>
      <c r="G343" s="191" t="s">
        <v>782</v>
      </c>
      <c r="H343" s="193">
        <f t="shared" si="45"/>
        <v>0</v>
      </c>
      <c r="I343" s="194">
        <v>0</v>
      </c>
      <c r="J343" s="194">
        <f t="shared" si="46"/>
        <v>0</v>
      </c>
      <c r="K343" s="194">
        <f t="shared" si="47"/>
        <v>8.3949999999999996</v>
      </c>
      <c r="L343" s="194">
        <v>2.3E-2</v>
      </c>
      <c r="M343" s="194">
        <f t="shared" si="48"/>
        <v>0.69</v>
      </c>
      <c r="N343" s="194">
        <f t="shared" si="44"/>
        <v>2.3E-2</v>
      </c>
      <c r="O343" s="195"/>
      <c r="P343" s="195"/>
      <c r="Q343" s="195"/>
      <c r="R343" s="195"/>
      <c r="S343" s="195"/>
      <c r="T343" s="195"/>
      <c r="U343" s="195"/>
      <c r="V343" s="195"/>
      <c r="W343" s="195"/>
      <c r="X343" s="195"/>
      <c r="Y343" s="195"/>
      <c r="Z343" s="195"/>
      <c r="AA343" s="195"/>
      <c r="AB343" s="195"/>
      <c r="AC343" s="196"/>
      <c r="AD343" s="196"/>
      <c r="AE343" s="196"/>
      <c r="AF343" s="196"/>
      <c r="AG343" s="196"/>
      <c r="AH343" s="196"/>
      <c r="AI343" s="196"/>
      <c r="AJ343" s="195"/>
      <c r="AK343" s="195"/>
      <c r="AL343" s="195"/>
      <c r="AM343" s="195"/>
      <c r="AN343" s="195"/>
      <c r="AO343" s="195"/>
      <c r="AP343" s="195"/>
      <c r="AQ343" s="195"/>
      <c r="AR343" s="195"/>
      <c r="AS343" s="195"/>
      <c r="AT343" s="195"/>
      <c r="AU343" s="195"/>
      <c r="AV343" s="195"/>
      <c r="AW343" s="195"/>
      <c r="AX343" s="191">
        <v>20</v>
      </c>
      <c r="AY343" s="215" t="s">
        <v>851</v>
      </c>
      <c r="AZ343" s="207" t="s">
        <v>1416</v>
      </c>
      <c r="BA343" s="294" t="s">
        <v>842</v>
      </c>
    </row>
    <row r="344" spans="1:53" s="187" customFormat="1">
      <c r="A344" s="187" t="s">
        <v>1417</v>
      </c>
      <c r="N344" s="295">
        <f>SUM(N2:N343)</f>
        <v>11.327501</v>
      </c>
      <c r="O344" s="295"/>
      <c r="P344" s="295"/>
      <c r="Q344" s="295"/>
      <c r="R344" s="295"/>
      <c r="S344" s="295"/>
      <c r="T344" s="295"/>
      <c r="U344" s="295"/>
      <c r="V344" s="295"/>
      <c r="W344" s="295"/>
      <c r="X344" s="295"/>
      <c r="Y344" s="295"/>
      <c r="Z344" s="295"/>
      <c r="AA344" s="295"/>
      <c r="AB344" s="295"/>
      <c r="AC344" s="296"/>
      <c r="AD344" s="296"/>
      <c r="AE344" s="296"/>
      <c r="AF344" s="296"/>
      <c r="AG344" s="296"/>
      <c r="AH344" s="296"/>
      <c r="AI344" s="296"/>
      <c r="AJ344" s="295"/>
      <c r="AK344" s="295"/>
      <c r="AL344" s="295"/>
      <c r="AM344" s="295"/>
      <c r="AN344" s="295"/>
      <c r="AO344" s="295"/>
      <c r="AP344" s="295"/>
      <c r="AQ344" s="295"/>
      <c r="AR344" s="295"/>
      <c r="AS344" s="295"/>
      <c r="AT344" s="295"/>
      <c r="AU344" s="295"/>
      <c r="AV344" s="295"/>
      <c r="AW344" s="295"/>
    </row>
    <row r="345" spans="1:53" s="187" customFormat="1">
      <c r="N345" s="295"/>
      <c r="O345" s="295"/>
      <c r="P345" s="295"/>
      <c r="Q345" s="295"/>
      <c r="R345" s="295"/>
      <c r="S345" s="295"/>
      <c r="T345" s="295"/>
      <c r="U345" s="295"/>
      <c r="V345" s="295"/>
      <c r="W345" s="295"/>
      <c r="X345" s="295"/>
      <c r="Y345" s="295"/>
      <c r="Z345" s="295"/>
      <c r="AA345" s="295"/>
      <c r="AB345" s="295"/>
      <c r="AC345" s="296"/>
      <c r="AD345" s="296"/>
      <c r="AE345" s="296"/>
      <c r="AF345" s="296"/>
      <c r="AG345" s="296"/>
      <c r="AH345" s="296"/>
      <c r="AI345" s="296"/>
      <c r="AJ345" s="295"/>
      <c r="AK345" s="295"/>
      <c r="AL345" s="295"/>
      <c r="AM345" s="295"/>
      <c r="AN345" s="295"/>
      <c r="AO345" s="295"/>
      <c r="AP345" s="295"/>
      <c r="AQ345" s="295"/>
      <c r="AR345" s="295"/>
      <c r="AS345" s="295"/>
      <c r="AT345" s="295"/>
      <c r="AU345" s="295"/>
      <c r="AV345" s="295"/>
      <c r="AW345" s="295"/>
    </row>
    <row r="346" spans="1:53" s="187" customFormat="1">
      <c r="N346" s="295"/>
      <c r="O346" s="295"/>
      <c r="P346" s="295"/>
      <c r="Q346" s="295"/>
      <c r="R346" s="295"/>
      <c r="S346" s="295"/>
      <c r="T346" s="295"/>
      <c r="U346" s="295"/>
      <c r="V346" s="295"/>
      <c r="W346" s="295"/>
      <c r="X346" s="295"/>
      <c r="Y346" s="295"/>
      <c r="Z346" s="295"/>
      <c r="AA346" s="295"/>
      <c r="AB346" s="295"/>
      <c r="AC346" s="296"/>
      <c r="AD346" s="296"/>
      <c r="AE346" s="296"/>
      <c r="AF346" s="296"/>
      <c r="AG346" s="296"/>
      <c r="AH346" s="296"/>
      <c r="AI346" s="296"/>
      <c r="AJ346" s="295"/>
      <c r="AK346" s="295"/>
      <c r="AL346" s="295"/>
      <c r="AM346" s="295"/>
      <c r="AN346" s="295"/>
      <c r="AO346" s="295"/>
      <c r="AP346" s="295"/>
      <c r="AQ346" s="295"/>
      <c r="AR346" s="295"/>
      <c r="AS346" s="295"/>
      <c r="AT346" s="295"/>
      <c r="AU346" s="295"/>
      <c r="AV346" s="295"/>
      <c r="AW346" s="295"/>
    </row>
    <row r="347" spans="1:53" s="187" customFormat="1">
      <c r="N347" s="295"/>
      <c r="O347" s="295"/>
      <c r="P347" s="295"/>
      <c r="Q347" s="295"/>
      <c r="R347" s="295"/>
      <c r="S347" s="295"/>
      <c r="T347" s="295"/>
      <c r="U347" s="295"/>
      <c r="V347" s="295"/>
      <c r="W347" s="295"/>
      <c r="X347" s="295"/>
      <c r="Y347" s="295"/>
      <c r="Z347" s="295"/>
      <c r="AA347" s="295"/>
      <c r="AB347" s="295"/>
      <c r="AC347" s="296"/>
      <c r="AD347" s="296"/>
      <c r="AE347" s="296"/>
      <c r="AF347" s="296"/>
      <c r="AG347" s="296"/>
      <c r="AH347" s="296"/>
      <c r="AI347" s="296"/>
      <c r="AJ347" s="295"/>
      <c r="AK347" s="295"/>
      <c r="AL347" s="295"/>
      <c r="AM347" s="295"/>
      <c r="AN347" s="295"/>
      <c r="AO347" s="295"/>
      <c r="AP347" s="295"/>
      <c r="AQ347" s="295"/>
      <c r="AR347" s="295"/>
      <c r="AS347" s="295"/>
      <c r="AT347" s="295"/>
      <c r="AU347" s="295"/>
      <c r="AV347" s="295"/>
      <c r="AW347" s="295"/>
    </row>
    <row r="348" spans="1:53">
      <c r="D348" s="186"/>
      <c r="E348" s="186"/>
      <c r="F348" s="186"/>
      <c r="H348" s="186"/>
      <c r="I348" s="186"/>
      <c r="J348" s="186"/>
      <c r="K348" s="186"/>
      <c r="L348" s="186"/>
      <c r="M348" s="186"/>
      <c r="N348" s="297"/>
      <c r="AW348" s="297"/>
      <c r="AZ348" s="186"/>
      <c r="BA348" s="186"/>
    </row>
    <row r="349" spans="1:53">
      <c r="D349" s="186"/>
      <c r="E349" s="186"/>
      <c r="F349" s="186"/>
      <c r="H349" s="186"/>
      <c r="I349" s="186"/>
      <c r="J349" s="186"/>
      <c r="K349" s="186"/>
      <c r="L349" s="186"/>
      <c r="M349" s="186"/>
      <c r="N349" s="297"/>
      <c r="AW349" s="297"/>
      <c r="AZ349" s="186"/>
      <c r="BA349" s="186"/>
    </row>
    <row r="350" spans="1:53">
      <c r="D350" s="186"/>
      <c r="E350" s="186"/>
      <c r="F350" s="186"/>
      <c r="H350" s="186"/>
      <c r="I350" s="186"/>
      <c r="J350" s="186"/>
      <c r="K350" s="186"/>
      <c r="L350" s="186"/>
      <c r="M350" s="186"/>
      <c r="N350" s="297"/>
      <c r="AW350" s="297"/>
      <c r="AZ350" s="186"/>
      <c r="BA350" s="186"/>
    </row>
    <row r="351" spans="1:53">
      <c r="D351" s="186"/>
      <c r="E351" s="186"/>
      <c r="F351" s="186"/>
      <c r="H351" s="186"/>
      <c r="I351" s="186"/>
      <c r="J351" s="186"/>
      <c r="K351" s="186"/>
      <c r="L351" s="186"/>
      <c r="M351" s="186"/>
      <c r="N351" s="297"/>
      <c r="AW351" s="297"/>
      <c r="AZ351" s="186"/>
      <c r="BA351" s="186"/>
    </row>
    <row r="352" spans="1:53">
      <c r="D352" s="186"/>
      <c r="E352" s="186"/>
      <c r="F352" s="186"/>
      <c r="H352" s="186"/>
      <c r="I352" s="186"/>
      <c r="J352" s="186"/>
      <c r="K352" s="186"/>
      <c r="L352" s="186"/>
      <c r="M352" s="186"/>
      <c r="N352" s="297"/>
      <c r="AW352" s="297"/>
      <c r="AZ352" s="186"/>
      <c r="BA352" s="186"/>
    </row>
    <row r="353" spans="4:53">
      <c r="D353" s="186"/>
      <c r="E353" s="186"/>
      <c r="F353" s="186"/>
      <c r="H353" s="186"/>
      <c r="I353" s="186"/>
      <c r="J353" s="186"/>
      <c r="K353" s="186"/>
      <c r="L353" s="186"/>
      <c r="M353" s="186"/>
      <c r="N353" s="297"/>
      <c r="AW353" s="297"/>
      <c r="AZ353" s="186"/>
      <c r="BA353" s="186"/>
    </row>
    <row r="354" spans="4:53">
      <c r="D354" s="186"/>
      <c r="E354" s="186"/>
      <c r="F354" s="186"/>
      <c r="H354" s="186"/>
      <c r="I354" s="186"/>
      <c r="J354" s="186"/>
      <c r="K354" s="186"/>
      <c r="L354" s="186"/>
      <c r="M354" s="186"/>
      <c r="N354" s="297"/>
      <c r="AW354" s="297"/>
      <c r="AZ354" s="186"/>
      <c r="BA354" s="186"/>
    </row>
    <row r="355" spans="4:53">
      <c r="D355" s="186"/>
      <c r="E355" s="186"/>
      <c r="F355" s="186"/>
      <c r="H355" s="186"/>
      <c r="I355" s="186"/>
      <c r="J355" s="186"/>
      <c r="K355" s="186"/>
      <c r="L355" s="186"/>
      <c r="M355" s="186"/>
      <c r="N355" s="297"/>
      <c r="AW355" s="297"/>
      <c r="AZ355" s="186"/>
      <c r="BA355" s="186"/>
    </row>
    <row r="356" spans="4:53">
      <c r="D356" s="186"/>
      <c r="E356" s="186"/>
      <c r="F356" s="186"/>
      <c r="H356" s="186"/>
      <c r="I356" s="186"/>
      <c r="J356" s="186"/>
      <c r="K356" s="186"/>
      <c r="L356" s="186"/>
      <c r="M356" s="186"/>
      <c r="N356" s="297"/>
      <c r="AW356" s="297"/>
      <c r="AZ356" s="186"/>
      <c r="BA356" s="186"/>
    </row>
    <row r="357" spans="4:53">
      <c r="D357" s="186"/>
      <c r="E357" s="186"/>
      <c r="F357" s="186"/>
      <c r="H357" s="186"/>
      <c r="I357" s="186"/>
      <c r="J357" s="186"/>
      <c r="K357" s="186"/>
      <c r="L357" s="186"/>
      <c r="M357" s="186"/>
      <c r="N357" s="297"/>
      <c r="AW357" s="297"/>
      <c r="AZ357" s="186"/>
      <c r="BA357" s="186"/>
    </row>
    <row r="358" spans="4:53">
      <c r="D358" s="186"/>
      <c r="E358" s="186"/>
      <c r="F358" s="186"/>
      <c r="H358" s="186"/>
      <c r="I358" s="186"/>
      <c r="J358" s="186"/>
      <c r="K358" s="186"/>
      <c r="L358" s="186"/>
      <c r="M358" s="186"/>
      <c r="N358" s="297"/>
      <c r="AW358" s="297"/>
      <c r="AZ358" s="186"/>
      <c r="BA358" s="186"/>
    </row>
    <row r="359" spans="4:53">
      <c r="D359" s="186"/>
      <c r="E359" s="186"/>
      <c r="F359" s="186"/>
      <c r="H359" s="186"/>
      <c r="I359" s="186"/>
      <c r="J359" s="186"/>
      <c r="K359" s="186"/>
      <c r="L359" s="186"/>
      <c r="M359" s="186"/>
      <c r="N359" s="297"/>
      <c r="AW359" s="297"/>
      <c r="AZ359" s="186"/>
      <c r="BA359" s="186"/>
    </row>
    <row r="360" spans="4:53">
      <c r="D360" s="186"/>
      <c r="E360" s="186"/>
      <c r="F360" s="186"/>
      <c r="H360" s="186"/>
      <c r="I360" s="186"/>
      <c r="J360" s="186"/>
      <c r="K360" s="186"/>
      <c r="L360" s="186"/>
      <c r="M360" s="186"/>
      <c r="N360" s="297"/>
      <c r="AW360" s="297"/>
      <c r="AZ360" s="186"/>
      <c r="BA360" s="186"/>
    </row>
    <row r="361" spans="4:53">
      <c r="D361" s="186"/>
      <c r="E361" s="186"/>
      <c r="F361" s="186"/>
      <c r="H361" s="186"/>
      <c r="I361" s="186"/>
      <c r="J361" s="186"/>
      <c r="K361" s="186"/>
      <c r="L361" s="186"/>
      <c r="M361" s="186"/>
      <c r="N361" s="297"/>
      <c r="AW361" s="297"/>
      <c r="AZ361" s="186"/>
      <c r="BA361" s="186"/>
    </row>
    <row r="362" spans="4:53">
      <c r="D362" s="186"/>
      <c r="E362" s="186"/>
      <c r="F362" s="186"/>
      <c r="H362" s="186"/>
      <c r="I362" s="186"/>
      <c r="J362" s="186"/>
      <c r="K362" s="186"/>
      <c r="L362" s="186"/>
      <c r="M362" s="186"/>
      <c r="N362" s="297"/>
      <c r="AW362" s="297"/>
      <c r="AZ362" s="186"/>
      <c r="BA362" s="186"/>
    </row>
    <row r="363" spans="4:53">
      <c r="D363" s="186"/>
      <c r="E363" s="186"/>
      <c r="F363" s="186"/>
      <c r="H363" s="186"/>
      <c r="I363" s="186"/>
      <c r="J363" s="186"/>
      <c r="K363" s="186"/>
      <c r="L363" s="186"/>
      <c r="M363" s="186"/>
      <c r="N363" s="297"/>
      <c r="AW363" s="297"/>
      <c r="AZ363" s="186"/>
      <c r="BA363" s="186"/>
    </row>
    <row r="364" spans="4:53">
      <c r="D364" s="186"/>
      <c r="E364" s="186"/>
      <c r="F364" s="186"/>
      <c r="H364" s="186"/>
      <c r="I364" s="186"/>
      <c r="J364" s="186"/>
      <c r="K364" s="186"/>
      <c r="L364" s="186"/>
      <c r="M364" s="186"/>
      <c r="N364" s="297"/>
      <c r="AW364" s="297"/>
      <c r="AZ364" s="186"/>
      <c r="BA364" s="186"/>
    </row>
    <row r="365" spans="4:53">
      <c r="D365" s="186"/>
      <c r="E365" s="186"/>
      <c r="F365" s="186"/>
      <c r="H365" s="186"/>
      <c r="I365" s="186"/>
      <c r="J365" s="186"/>
      <c r="K365" s="186"/>
      <c r="L365" s="186"/>
      <c r="M365" s="186"/>
      <c r="N365" s="297"/>
      <c r="AW365" s="297"/>
      <c r="AZ365" s="186"/>
      <c r="BA365" s="186"/>
    </row>
    <row r="366" spans="4:53">
      <c r="D366" s="186"/>
      <c r="E366" s="186"/>
      <c r="F366" s="186"/>
      <c r="H366" s="186"/>
      <c r="I366" s="186"/>
      <c r="J366" s="186"/>
      <c r="K366" s="186"/>
      <c r="L366" s="186"/>
      <c r="M366" s="186"/>
      <c r="N366" s="297"/>
      <c r="AW366" s="297"/>
      <c r="AZ366" s="186"/>
      <c r="BA366" s="186"/>
    </row>
    <row r="367" spans="4:53">
      <c r="D367" s="186"/>
      <c r="E367" s="186"/>
      <c r="F367" s="186"/>
      <c r="H367" s="186"/>
      <c r="I367" s="186"/>
      <c r="J367" s="186"/>
      <c r="K367" s="186"/>
      <c r="L367" s="186"/>
      <c r="M367" s="186"/>
      <c r="N367" s="297"/>
      <c r="AW367" s="297"/>
      <c r="AZ367" s="186"/>
      <c r="BA367" s="186"/>
    </row>
    <row r="368" spans="4:53">
      <c r="D368" s="186"/>
      <c r="E368" s="186"/>
      <c r="F368" s="186"/>
      <c r="H368" s="186"/>
      <c r="I368" s="186"/>
      <c r="J368" s="186"/>
      <c r="K368" s="186"/>
      <c r="L368" s="186"/>
      <c r="M368" s="186"/>
      <c r="N368" s="297"/>
      <c r="AW368" s="297"/>
      <c r="AZ368" s="186"/>
      <c r="BA368" s="186"/>
    </row>
    <row r="369" spans="4:53">
      <c r="D369" s="186"/>
      <c r="E369" s="186"/>
      <c r="F369" s="186"/>
      <c r="H369" s="186"/>
      <c r="I369" s="186"/>
      <c r="J369" s="186"/>
      <c r="K369" s="186"/>
      <c r="L369" s="186"/>
      <c r="M369" s="186"/>
      <c r="N369" s="297"/>
      <c r="AW369" s="297"/>
      <c r="AZ369" s="186"/>
      <c r="BA369" s="186"/>
    </row>
    <row r="370" spans="4:53">
      <c r="D370" s="186"/>
      <c r="E370" s="186"/>
      <c r="F370" s="186"/>
      <c r="H370" s="186"/>
      <c r="I370" s="186"/>
      <c r="J370" s="186"/>
      <c r="K370" s="186"/>
      <c r="L370" s="186"/>
      <c r="M370" s="186"/>
      <c r="N370" s="297"/>
      <c r="AW370" s="297"/>
      <c r="AZ370" s="186"/>
      <c r="BA370" s="186"/>
    </row>
    <row r="371" spans="4:53">
      <c r="D371" s="186"/>
      <c r="E371" s="186"/>
      <c r="F371" s="186"/>
      <c r="H371" s="186"/>
      <c r="I371" s="186"/>
      <c r="J371" s="186"/>
      <c r="K371" s="186"/>
      <c r="L371" s="186"/>
      <c r="M371" s="186"/>
      <c r="N371" s="297"/>
      <c r="AW371" s="297"/>
      <c r="AZ371" s="186"/>
      <c r="BA371" s="186"/>
    </row>
    <row r="372" spans="4:53">
      <c r="D372" s="186"/>
      <c r="E372" s="186"/>
      <c r="F372" s="186"/>
      <c r="H372" s="186"/>
      <c r="I372" s="186"/>
      <c r="J372" s="186"/>
      <c r="K372" s="186"/>
      <c r="L372" s="186"/>
      <c r="M372" s="186"/>
      <c r="N372" s="297"/>
      <c r="AW372" s="297"/>
      <c r="AZ372" s="186"/>
      <c r="BA372" s="186"/>
    </row>
    <row r="373" spans="4:53">
      <c r="D373" s="186"/>
      <c r="E373" s="186"/>
      <c r="F373" s="186"/>
      <c r="H373" s="186"/>
      <c r="I373" s="186"/>
      <c r="J373" s="186"/>
      <c r="K373" s="186"/>
      <c r="L373" s="186"/>
      <c r="M373" s="186"/>
      <c r="N373" s="297"/>
      <c r="AW373" s="297"/>
      <c r="AZ373" s="186"/>
      <c r="BA373" s="186"/>
    </row>
    <row r="374" spans="4:53">
      <c r="D374" s="186"/>
      <c r="E374" s="186"/>
      <c r="F374" s="186"/>
      <c r="H374" s="186"/>
      <c r="I374" s="186"/>
      <c r="J374" s="186"/>
      <c r="K374" s="186"/>
      <c r="L374" s="186"/>
      <c r="M374" s="186"/>
      <c r="N374" s="297"/>
      <c r="AW374" s="297"/>
      <c r="AZ374" s="186"/>
      <c r="BA374" s="186"/>
    </row>
    <row r="375" spans="4:53">
      <c r="D375" s="186"/>
      <c r="E375" s="186"/>
      <c r="F375" s="186"/>
      <c r="H375" s="186"/>
      <c r="I375" s="186"/>
      <c r="J375" s="186"/>
      <c r="K375" s="186"/>
      <c r="L375" s="186"/>
      <c r="M375" s="186"/>
      <c r="N375" s="297"/>
      <c r="AW375" s="297"/>
      <c r="AZ375" s="186"/>
      <c r="BA375" s="186"/>
    </row>
  </sheetData>
  <conditionalFormatting sqref="B1:C1">
    <cfRule type="containsBlanks" dxfId="37" priority="3" stopIfTrue="1">
      <formula>LEN(TRIM(B1))=0</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25"/>
  <sheetViews>
    <sheetView zoomScale="80" zoomScaleNormal="80" workbookViewId="0">
      <pane xSplit="5" ySplit="1" topLeftCell="F113" activePane="bottomRight" state="frozen"/>
      <selection pane="topRight" activeCell="E1" sqref="E1"/>
      <selection pane="bottomLeft" activeCell="A2" sqref="A2"/>
      <selection pane="bottomRight" activeCell="A119" sqref="A119"/>
    </sheetView>
  </sheetViews>
  <sheetFormatPr defaultRowHeight="15"/>
  <cols>
    <col min="2" max="2" width="21" bestFit="1" customWidth="1"/>
    <col min="3" max="3" width="21" customWidth="1"/>
    <col min="4" max="4" width="31.42578125" style="9" customWidth="1"/>
    <col min="5" max="5" width="12.85546875" style="9" customWidth="1"/>
    <col min="6" max="6" width="21.85546875" style="9" customWidth="1"/>
    <col min="7" max="7" width="17.5703125" style="162" customWidth="1"/>
    <col min="8" max="8" width="13.7109375" style="5" customWidth="1"/>
    <col min="9" max="9" width="14.5703125" style="5" customWidth="1"/>
    <col min="10" max="10" width="13.7109375" style="5" customWidth="1"/>
    <col min="11" max="11" width="14.5703125" style="5" customWidth="1"/>
    <col min="12" max="12" width="13.42578125" style="5" customWidth="1"/>
    <col min="13" max="13" width="14.28515625" style="163" customWidth="1"/>
    <col min="14" max="14" width="15" style="164" customWidth="1"/>
    <col min="15" max="15" width="13.7109375" style="5" customWidth="1"/>
    <col min="16" max="16" width="14.5703125" style="5" customWidth="1"/>
    <col min="17" max="17" width="13.7109375" style="5" customWidth="1"/>
    <col min="18" max="18" width="15.5703125" style="5" customWidth="1"/>
    <col min="19" max="19" width="13.42578125" style="5" customWidth="1"/>
    <col min="20" max="20" width="14.28515625" style="163" customWidth="1"/>
    <col min="21" max="21" width="14.28515625" style="165" customWidth="1"/>
    <col min="22" max="26" width="14.28515625" style="5" customWidth="1"/>
    <col min="27" max="27" width="14.28515625" style="163" customWidth="1"/>
    <col min="28" max="28" width="14.28515625" style="165" customWidth="1"/>
    <col min="29" max="33" width="14.28515625" style="5" customWidth="1"/>
    <col min="34" max="34" width="14.28515625" style="163" customWidth="1"/>
    <col min="35" max="35" width="14.28515625" style="164" customWidth="1"/>
    <col min="36" max="40" width="14.28515625" style="5" customWidth="1"/>
    <col min="41" max="41" width="14.28515625" style="163" customWidth="1"/>
    <col min="42" max="42" width="14.28515625" style="164" customWidth="1"/>
    <col min="43" max="43" width="11.85546875" style="5" customWidth="1"/>
    <col min="44" max="44" width="11.140625" style="5" customWidth="1"/>
    <col min="45" max="47" width="10.7109375" style="5" customWidth="1"/>
    <col min="48" max="48" width="10.7109375" style="163" customWidth="1"/>
    <col min="49" max="49" width="12.5703125" style="164" customWidth="1"/>
    <col min="50" max="50" width="15.140625" bestFit="1" customWidth="1"/>
    <col min="51" max="51" width="17.42578125" customWidth="1"/>
    <col min="52" max="52" width="31.85546875" style="9" customWidth="1"/>
    <col min="53" max="53" width="14.5703125" style="9" customWidth="1"/>
  </cols>
  <sheetData>
    <row r="1" spans="1:53" ht="132.75" customHeight="1">
      <c r="A1" s="1" t="s">
        <v>0</v>
      </c>
      <c r="B1" s="1" t="s">
        <v>1</v>
      </c>
      <c r="C1" s="1" t="s">
        <v>30</v>
      </c>
      <c r="D1" s="1" t="s">
        <v>2</v>
      </c>
      <c r="E1" s="1" t="s">
        <v>12</v>
      </c>
      <c r="F1" s="1" t="s">
        <v>3</v>
      </c>
      <c r="G1" s="57" t="s">
        <v>16</v>
      </c>
      <c r="H1" s="4" t="s">
        <v>4</v>
      </c>
      <c r="I1" s="2" t="s">
        <v>426</v>
      </c>
      <c r="J1" s="2" t="s">
        <v>425</v>
      </c>
      <c r="K1" s="2" t="s">
        <v>5</v>
      </c>
      <c r="L1" s="2" t="s">
        <v>427</v>
      </c>
      <c r="M1" s="58" t="s">
        <v>428</v>
      </c>
      <c r="N1" s="59" t="s">
        <v>6</v>
      </c>
      <c r="O1" s="4" t="s">
        <v>24</v>
      </c>
      <c r="P1" s="2" t="s">
        <v>429</v>
      </c>
      <c r="Q1" s="2" t="s">
        <v>430</v>
      </c>
      <c r="R1" s="2" t="s">
        <v>25</v>
      </c>
      <c r="S1" s="2" t="s">
        <v>462</v>
      </c>
      <c r="T1" s="58" t="s">
        <v>432</v>
      </c>
      <c r="U1" s="3" t="s">
        <v>26</v>
      </c>
      <c r="V1" s="4" t="s">
        <v>18</v>
      </c>
      <c r="W1" s="2" t="s">
        <v>433</v>
      </c>
      <c r="X1" s="2" t="s">
        <v>434</v>
      </c>
      <c r="Y1" s="2" t="s">
        <v>19</v>
      </c>
      <c r="Z1" s="2" t="s">
        <v>435</v>
      </c>
      <c r="AA1" s="58" t="s">
        <v>436</v>
      </c>
      <c r="AB1" s="3" t="s">
        <v>20</v>
      </c>
      <c r="AC1" s="4" t="s">
        <v>21</v>
      </c>
      <c r="AD1" s="2" t="s">
        <v>437</v>
      </c>
      <c r="AE1" s="2" t="s">
        <v>463</v>
      </c>
      <c r="AF1" s="2" t="s">
        <v>22</v>
      </c>
      <c r="AG1" s="2" t="s">
        <v>439</v>
      </c>
      <c r="AH1" s="58" t="s">
        <v>440</v>
      </c>
      <c r="AI1" s="59" t="s">
        <v>23</v>
      </c>
      <c r="AJ1" s="4" t="s">
        <v>27</v>
      </c>
      <c r="AK1" s="2" t="s">
        <v>441</v>
      </c>
      <c r="AL1" s="2" t="s">
        <v>442</v>
      </c>
      <c r="AM1" s="2" t="s">
        <v>28</v>
      </c>
      <c r="AN1" s="2" t="s">
        <v>443</v>
      </c>
      <c r="AO1" s="58" t="s">
        <v>444</v>
      </c>
      <c r="AP1" s="59" t="s">
        <v>29</v>
      </c>
      <c r="AQ1" s="4" t="s">
        <v>7</v>
      </c>
      <c r="AR1" s="2" t="s">
        <v>445</v>
      </c>
      <c r="AS1" s="2" t="s">
        <v>446</v>
      </c>
      <c r="AT1" s="2" t="s">
        <v>8</v>
      </c>
      <c r="AU1" s="2" t="s">
        <v>447</v>
      </c>
      <c r="AV1" s="58" t="s">
        <v>448</v>
      </c>
      <c r="AW1" s="59" t="s">
        <v>9</v>
      </c>
      <c r="AX1" s="4" t="s">
        <v>10</v>
      </c>
      <c r="AY1" s="2" t="s">
        <v>11</v>
      </c>
      <c r="AZ1" s="1" t="s">
        <v>13</v>
      </c>
      <c r="BA1" s="1" t="s">
        <v>14</v>
      </c>
    </row>
    <row r="2" spans="1:53">
      <c r="A2" s="7" t="s">
        <v>464</v>
      </c>
      <c r="B2" s="7" t="s">
        <v>465</v>
      </c>
      <c r="C2" s="7" t="s">
        <v>465</v>
      </c>
      <c r="D2" s="60" t="s">
        <v>466</v>
      </c>
      <c r="E2" s="6" t="s">
        <v>15</v>
      </c>
      <c r="F2" s="6" t="s">
        <v>467</v>
      </c>
      <c r="G2" s="61">
        <v>41670</v>
      </c>
      <c r="H2" s="62">
        <v>4.3499999999999996</v>
      </c>
      <c r="I2" s="8">
        <f t="shared" ref="I2:I65" si="0">H2/365</f>
        <v>1.191780821917808E-2</v>
      </c>
      <c r="J2" s="8">
        <f t="shared" ref="J2:J65" si="1">H2/12</f>
        <v>0.36249999999999999</v>
      </c>
      <c r="K2" s="8">
        <v>1.1000000000000001</v>
      </c>
      <c r="L2" s="8">
        <f t="shared" ref="L2:L65" si="2">K2/365</f>
        <v>3.0136986301369864E-3</v>
      </c>
      <c r="M2" s="63">
        <f t="shared" ref="M2:M65" si="3">K2/12</f>
        <v>9.1666666666666674E-2</v>
      </c>
      <c r="N2" s="64">
        <f t="shared" ref="N2:N65" si="4">L2-I2</f>
        <v>-8.904109589041094E-3</v>
      </c>
      <c r="O2" s="62">
        <v>0</v>
      </c>
      <c r="P2" s="8">
        <f t="shared" ref="P2:P65" si="5">O2/365</f>
        <v>0</v>
      </c>
      <c r="Q2" s="8">
        <f t="shared" ref="Q2:Q65" si="6">O2/12</f>
        <v>0</v>
      </c>
      <c r="R2" s="8">
        <v>0</v>
      </c>
      <c r="S2" s="8">
        <f t="shared" ref="S2:S65" si="7">R2/365</f>
        <v>0</v>
      </c>
      <c r="T2" s="63">
        <f t="shared" ref="T2:T65" si="8">R2/12</f>
        <v>0</v>
      </c>
      <c r="U2" s="65">
        <f t="shared" ref="U2:U65" si="9">S2-P2</f>
        <v>0</v>
      </c>
      <c r="V2" s="62">
        <v>4.3499999999999996</v>
      </c>
      <c r="W2" s="8">
        <f t="shared" ref="W2:W65" si="10">V2/365</f>
        <v>1.191780821917808E-2</v>
      </c>
      <c r="X2" s="8">
        <f t="shared" ref="X2:X65" si="11">V2/12</f>
        <v>0.36249999999999999</v>
      </c>
      <c r="Y2" s="8">
        <v>1.1000000000000001</v>
      </c>
      <c r="Z2" s="8">
        <f t="shared" ref="Z2:Z65" si="12">Y2/365</f>
        <v>3.0136986301369864E-3</v>
      </c>
      <c r="AA2" s="63">
        <f t="shared" ref="AA2:AA65" si="13">Y2/12</f>
        <v>9.1666666666666674E-2</v>
      </c>
      <c r="AB2" s="65">
        <f t="shared" ref="AB2:AB65" si="14">Z2-W2</f>
        <v>-8.904109589041094E-3</v>
      </c>
      <c r="AC2" s="62">
        <v>0</v>
      </c>
      <c r="AD2" s="8">
        <f t="shared" ref="AD2:AD65" si="15">AC2/365</f>
        <v>0</v>
      </c>
      <c r="AE2" s="8">
        <f t="shared" ref="AE2:AE65" si="16">AC2/12</f>
        <v>0</v>
      </c>
      <c r="AF2" s="8">
        <v>0</v>
      </c>
      <c r="AG2" s="8">
        <f t="shared" ref="AG2:AG65" si="17">AF2/365</f>
        <v>0</v>
      </c>
      <c r="AH2" s="63">
        <f t="shared" ref="AH2:AH65" si="18">AF2/12</f>
        <v>0</v>
      </c>
      <c r="AI2" s="64">
        <f t="shared" ref="AI2:AI65" si="19">AG2-AD2</f>
        <v>0</v>
      </c>
      <c r="AJ2" s="62">
        <v>0</v>
      </c>
      <c r="AK2" s="8">
        <f t="shared" ref="AK2:AK65" si="20">AJ2/365</f>
        <v>0</v>
      </c>
      <c r="AL2" s="8">
        <f t="shared" ref="AL2:AL65" si="21">AJ2/12</f>
        <v>0</v>
      </c>
      <c r="AM2" s="8">
        <v>0</v>
      </c>
      <c r="AN2" s="8">
        <f t="shared" ref="AN2:AN65" si="22">AM2/365</f>
        <v>0</v>
      </c>
      <c r="AO2" s="63">
        <f t="shared" ref="AO2:AO65" si="23">AM2/12</f>
        <v>0</v>
      </c>
      <c r="AP2" s="64">
        <f t="shared" ref="AP2:AP65" si="24">AN2-AK2</f>
        <v>0</v>
      </c>
      <c r="AQ2" s="66">
        <v>0</v>
      </c>
      <c r="AR2" s="37">
        <f t="shared" ref="AR2:AR65" si="25">AQ2/365</f>
        <v>0</v>
      </c>
      <c r="AS2" s="37">
        <f t="shared" ref="AS2:AS65" si="26">AQ2/12</f>
        <v>0</v>
      </c>
      <c r="AT2" s="37">
        <v>0</v>
      </c>
      <c r="AU2" s="37">
        <f t="shared" ref="AU2:AU65" si="27">AT2/365</f>
        <v>0</v>
      </c>
      <c r="AV2" s="67">
        <f t="shared" ref="AV2:AV65" si="28">AT2/12</f>
        <v>0</v>
      </c>
      <c r="AW2" s="64">
        <f t="shared" ref="AW2:AW65" si="29">AU2-AR2</f>
        <v>0</v>
      </c>
      <c r="AX2" s="68">
        <v>20</v>
      </c>
      <c r="AY2" s="69">
        <v>20</v>
      </c>
      <c r="AZ2" s="6" t="s">
        <v>468</v>
      </c>
      <c r="BA2" s="6" t="s">
        <v>469</v>
      </c>
    </row>
    <row r="3" spans="1:53" ht="45">
      <c r="A3" s="7" t="s">
        <v>464</v>
      </c>
      <c r="B3" s="7" t="s">
        <v>470</v>
      </c>
      <c r="C3" s="7" t="s">
        <v>470</v>
      </c>
      <c r="D3" s="70" t="s">
        <v>471</v>
      </c>
      <c r="E3" s="6" t="s">
        <v>472</v>
      </c>
      <c r="F3" s="6" t="s">
        <v>473</v>
      </c>
      <c r="G3" s="71">
        <v>41682</v>
      </c>
      <c r="H3" s="62">
        <v>176.79</v>
      </c>
      <c r="I3" s="8">
        <f t="shared" si="0"/>
        <v>0.4843561643835616</v>
      </c>
      <c r="J3" s="8">
        <f t="shared" si="1"/>
        <v>14.7325</v>
      </c>
      <c r="K3" s="8">
        <v>332.15</v>
      </c>
      <c r="L3" s="8">
        <f t="shared" si="2"/>
        <v>0.90999999999999992</v>
      </c>
      <c r="M3" s="63">
        <f t="shared" si="3"/>
        <v>27.679166666666664</v>
      </c>
      <c r="N3" s="64">
        <f t="shared" si="4"/>
        <v>0.42564383561643832</v>
      </c>
      <c r="O3" s="62">
        <v>0</v>
      </c>
      <c r="P3" s="8">
        <f t="shared" si="5"/>
        <v>0</v>
      </c>
      <c r="Q3" s="8">
        <f t="shared" si="6"/>
        <v>0</v>
      </c>
      <c r="R3" s="8">
        <v>0</v>
      </c>
      <c r="S3" s="8">
        <f t="shared" si="7"/>
        <v>0</v>
      </c>
      <c r="T3" s="63">
        <f t="shared" si="8"/>
        <v>0</v>
      </c>
      <c r="U3" s="65">
        <f t="shared" si="9"/>
        <v>0</v>
      </c>
      <c r="V3" s="62">
        <v>176.79</v>
      </c>
      <c r="W3" s="8">
        <f t="shared" si="10"/>
        <v>0.4843561643835616</v>
      </c>
      <c r="X3" s="8">
        <f t="shared" si="11"/>
        <v>14.7325</v>
      </c>
      <c r="Y3" s="8">
        <v>27.3</v>
      </c>
      <c r="Z3" s="8">
        <f t="shared" si="12"/>
        <v>7.4794520547945206E-2</v>
      </c>
      <c r="AA3" s="63">
        <f t="shared" si="13"/>
        <v>2.2749999999999999</v>
      </c>
      <c r="AB3" s="65">
        <f t="shared" si="14"/>
        <v>-0.40956164383561638</v>
      </c>
      <c r="AC3" s="62">
        <v>0</v>
      </c>
      <c r="AD3" s="8">
        <f t="shared" si="15"/>
        <v>0</v>
      </c>
      <c r="AE3" s="8">
        <f t="shared" si="16"/>
        <v>0</v>
      </c>
      <c r="AF3" s="8">
        <f>332.15-27.3</f>
        <v>304.84999999999997</v>
      </c>
      <c r="AG3" s="8">
        <f t="shared" si="17"/>
        <v>0.8352054794520547</v>
      </c>
      <c r="AH3" s="63">
        <f t="shared" si="18"/>
        <v>25.404166666666665</v>
      </c>
      <c r="AI3" s="64">
        <f t="shared" si="19"/>
        <v>0.8352054794520547</v>
      </c>
      <c r="AJ3" s="62">
        <v>0</v>
      </c>
      <c r="AK3" s="8">
        <f t="shared" si="20"/>
        <v>0</v>
      </c>
      <c r="AL3" s="8">
        <f t="shared" si="21"/>
        <v>0</v>
      </c>
      <c r="AM3" s="8">
        <v>0</v>
      </c>
      <c r="AN3" s="8">
        <f t="shared" si="22"/>
        <v>0</v>
      </c>
      <c r="AO3" s="63">
        <f t="shared" si="23"/>
        <v>0</v>
      </c>
      <c r="AP3" s="64">
        <f t="shared" si="24"/>
        <v>0</v>
      </c>
      <c r="AQ3" s="66">
        <v>0</v>
      </c>
      <c r="AR3" s="37">
        <f t="shared" si="25"/>
        <v>0</v>
      </c>
      <c r="AS3" s="37">
        <f t="shared" si="26"/>
        <v>0</v>
      </c>
      <c r="AT3" s="37">
        <v>0</v>
      </c>
      <c r="AU3" s="37">
        <f t="shared" si="27"/>
        <v>0</v>
      </c>
      <c r="AV3" s="67">
        <f t="shared" si="28"/>
        <v>0</v>
      </c>
      <c r="AW3" s="64">
        <f t="shared" si="29"/>
        <v>0</v>
      </c>
      <c r="AX3" s="68">
        <v>20</v>
      </c>
      <c r="AY3" s="69">
        <v>20</v>
      </c>
      <c r="AZ3" s="6" t="s">
        <v>474</v>
      </c>
      <c r="BA3" s="6" t="s">
        <v>469</v>
      </c>
    </row>
    <row r="4" spans="1:53">
      <c r="A4" s="7" t="s">
        <v>464</v>
      </c>
      <c r="B4" s="7" t="s">
        <v>475</v>
      </c>
      <c r="C4" s="7" t="s">
        <v>475</v>
      </c>
      <c r="D4" s="60" t="s">
        <v>476</v>
      </c>
      <c r="E4" s="6" t="s">
        <v>15</v>
      </c>
      <c r="F4" s="6" t="s">
        <v>477</v>
      </c>
      <c r="G4" s="61">
        <v>41684</v>
      </c>
      <c r="H4" s="62">
        <v>102.56</v>
      </c>
      <c r="I4" s="8">
        <f t="shared" si="0"/>
        <v>0.28098630136986302</v>
      </c>
      <c r="J4" s="8">
        <f t="shared" si="1"/>
        <v>8.5466666666666669</v>
      </c>
      <c r="K4" s="8">
        <v>102.56</v>
      </c>
      <c r="L4" s="8">
        <f t="shared" si="2"/>
        <v>0.28098630136986302</v>
      </c>
      <c r="M4" s="63">
        <f t="shared" si="3"/>
        <v>8.5466666666666669</v>
      </c>
      <c r="N4" s="64">
        <f t="shared" si="4"/>
        <v>0</v>
      </c>
      <c r="O4" s="62">
        <v>0</v>
      </c>
      <c r="P4" s="8">
        <f t="shared" si="5"/>
        <v>0</v>
      </c>
      <c r="Q4" s="8">
        <f t="shared" si="6"/>
        <v>0</v>
      </c>
      <c r="R4" s="8">
        <v>0</v>
      </c>
      <c r="S4" s="8">
        <f t="shared" si="7"/>
        <v>0</v>
      </c>
      <c r="T4" s="63">
        <f t="shared" si="8"/>
        <v>0</v>
      </c>
      <c r="U4" s="65">
        <f t="shared" si="9"/>
        <v>0</v>
      </c>
      <c r="V4" s="62">
        <v>102.56</v>
      </c>
      <c r="W4" s="8">
        <f t="shared" si="10"/>
        <v>0.28098630136986302</v>
      </c>
      <c r="X4" s="8">
        <f t="shared" si="11"/>
        <v>8.5466666666666669</v>
      </c>
      <c r="Y4" s="8">
        <v>102.56</v>
      </c>
      <c r="Z4" s="8">
        <f t="shared" si="12"/>
        <v>0.28098630136986302</v>
      </c>
      <c r="AA4" s="63">
        <f t="shared" si="13"/>
        <v>8.5466666666666669</v>
      </c>
      <c r="AB4" s="65">
        <f t="shared" si="14"/>
        <v>0</v>
      </c>
      <c r="AC4" s="62">
        <v>0</v>
      </c>
      <c r="AD4" s="8">
        <f t="shared" si="15"/>
        <v>0</v>
      </c>
      <c r="AE4" s="8">
        <f t="shared" si="16"/>
        <v>0</v>
      </c>
      <c r="AF4" s="8">
        <v>0</v>
      </c>
      <c r="AG4" s="8">
        <f t="shared" si="17"/>
        <v>0</v>
      </c>
      <c r="AH4" s="63">
        <f t="shared" si="18"/>
        <v>0</v>
      </c>
      <c r="AI4" s="64">
        <f t="shared" si="19"/>
        <v>0</v>
      </c>
      <c r="AJ4" s="62">
        <v>0</v>
      </c>
      <c r="AK4" s="8">
        <f t="shared" si="20"/>
        <v>0</v>
      </c>
      <c r="AL4" s="8">
        <f t="shared" si="21"/>
        <v>0</v>
      </c>
      <c r="AM4" s="8">
        <v>0</v>
      </c>
      <c r="AN4" s="8">
        <f t="shared" si="22"/>
        <v>0</v>
      </c>
      <c r="AO4" s="63">
        <f t="shared" si="23"/>
        <v>0</v>
      </c>
      <c r="AP4" s="64">
        <f t="shared" si="24"/>
        <v>0</v>
      </c>
      <c r="AQ4" s="66">
        <v>0</v>
      </c>
      <c r="AR4" s="37">
        <f t="shared" si="25"/>
        <v>0</v>
      </c>
      <c r="AS4" s="37">
        <f t="shared" si="26"/>
        <v>0</v>
      </c>
      <c r="AT4" s="37">
        <v>0</v>
      </c>
      <c r="AU4" s="37">
        <f t="shared" si="27"/>
        <v>0</v>
      </c>
      <c r="AV4" s="67">
        <f t="shared" si="28"/>
        <v>0</v>
      </c>
      <c r="AW4" s="64">
        <f t="shared" si="29"/>
        <v>0</v>
      </c>
      <c r="AX4" s="68">
        <v>20</v>
      </c>
      <c r="AY4" s="69">
        <v>10</v>
      </c>
      <c r="AZ4" s="6"/>
      <c r="BA4" s="6" t="s">
        <v>469</v>
      </c>
    </row>
    <row r="5" spans="1:53">
      <c r="A5" s="7" t="s">
        <v>464</v>
      </c>
      <c r="B5" s="7" t="s">
        <v>478</v>
      </c>
      <c r="C5" s="7" t="s">
        <v>478</v>
      </c>
      <c r="D5" s="70" t="s">
        <v>479</v>
      </c>
      <c r="E5" s="6" t="s">
        <v>472</v>
      </c>
      <c r="F5" s="6" t="s">
        <v>477</v>
      </c>
      <c r="G5" s="71">
        <v>41695</v>
      </c>
      <c r="H5" s="62">
        <v>46.36</v>
      </c>
      <c r="I5" s="8">
        <f t="shared" si="0"/>
        <v>0.12701369863013698</v>
      </c>
      <c r="J5" s="8">
        <f t="shared" si="1"/>
        <v>3.8633333333333333</v>
      </c>
      <c r="K5" s="8">
        <v>46.36</v>
      </c>
      <c r="L5" s="8">
        <f t="shared" si="2"/>
        <v>0.12701369863013698</v>
      </c>
      <c r="M5" s="63">
        <f t="shared" si="3"/>
        <v>3.8633333333333333</v>
      </c>
      <c r="N5" s="64">
        <f t="shared" si="4"/>
        <v>0</v>
      </c>
      <c r="O5" s="62">
        <v>0</v>
      </c>
      <c r="P5" s="8">
        <f t="shared" si="5"/>
        <v>0</v>
      </c>
      <c r="Q5" s="8">
        <f t="shared" si="6"/>
        <v>0</v>
      </c>
      <c r="R5" s="8">
        <v>0</v>
      </c>
      <c r="S5" s="8">
        <f t="shared" si="7"/>
        <v>0</v>
      </c>
      <c r="T5" s="63">
        <f t="shared" si="8"/>
        <v>0</v>
      </c>
      <c r="U5" s="65">
        <f t="shared" si="9"/>
        <v>0</v>
      </c>
      <c r="V5" s="62">
        <f>46.36*(2/3)</f>
        <v>30.906666666666666</v>
      </c>
      <c r="W5" s="8">
        <f t="shared" si="10"/>
        <v>8.4675799086757986E-2</v>
      </c>
      <c r="X5" s="8">
        <f t="shared" si="11"/>
        <v>2.5755555555555554</v>
      </c>
      <c r="Y5" s="8">
        <f>46.36*(2/3)</f>
        <v>30.906666666666666</v>
      </c>
      <c r="Z5" s="8">
        <f t="shared" si="12"/>
        <v>8.4675799086757986E-2</v>
      </c>
      <c r="AA5" s="63">
        <f t="shared" si="13"/>
        <v>2.5755555555555554</v>
      </c>
      <c r="AB5" s="65">
        <f t="shared" si="14"/>
        <v>0</v>
      </c>
      <c r="AC5" s="62">
        <f>46.36*(1/3)</f>
        <v>15.453333333333333</v>
      </c>
      <c r="AD5" s="8">
        <f t="shared" si="15"/>
        <v>4.2337899543378993E-2</v>
      </c>
      <c r="AE5" s="8">
        <f t="shared" si="16"/>
        <v>1.2877777777777777</v>
      </c>
      <c r="AF5" s="8">
        <f>46.36*(1/3)</f>
        <v>15.453333333333333</v>
      </c>
      <c r="AG5" s="8">
        <f t="shared" si="17"/>
        <v>4.2337899543378993E-2</v>
      </c>
      <c r="AH5" s="63">
        <f t="shared" si="18"/>
        <v>1.2877777777777777</v>
      </c>
      <c r="AI5" s="64">
        <f t="shared" si="19"/>
        <v>0</v>
      </c>
      <c r="AJ5" s="62">
        <v>0</v>
      </c>
      <c r="AK5" s="8">
        <f t="shared" si="20"/>
        <v>0</v>
      </c>
      <c r="AL5" s="8">
        <f t="shared" si="21"/>
        <v>0</v>
      </c>
      <c r="AM5" s="8">
        <v>0</v>
      </c>
      <c r="AN5" s="8">
        <f t="shared" si="22"/>
        <v>0</v>
      </c>
      <c r="AO5" s="63">
        <f t="shared" si="23"/>
        <v>0</v>
      </c>
      <c r="AP5" s="64">
        <f t="shared" si="24"/>
        <v>0</v>
      </c>
      <c r="AQ5" s="66">
        <v>0</v>
      </c>
      <c r="AR5" s="37">
        <f t="shared" si="25"/>
        <v>0</v>
      </c>
      <c r="AS5" s="37">
        <f t="shared" si="26"/>
        <v>0</v>
      </c>
      <c r="AT5" s="37">
        <v>0</v>
      </c>
      <c r="AU5" s="37">
        <f t="shared" si="27"/>
        <v>0</v>
      </c>
      <c r="AV5" s="67">
        <f t="shared" si="28"/>
        <v>0</v>
      </c>
      <c r="AW5" s="64">
        <f t="shared" si="29"/>
        <v>0</v>
      </c>
      <c r="AX5" s="68">
        <v>20</v>
      </c>
      <c r="AY5" s="69">
        <v>20</v>
      </c>
      <c r="AZ5" s="6"/>
      <c r="BA5" s="6" t="s">
        <v>469</v>
      </c>
    </row>
    <row r="6" spans="1:53" ht="30">
      <c r="A6" s="7" t="s">
        <v>464</v>
      </c>
      <c r="B6" s="7" t="s">
        <v>480</v>
      </c>
      <c r="C6" s="7" t="s">
        <v>480</v>
      </c>
      <c r="D6" s="60" t="s">
        <v>481</v>
      </c>
      <c r="E6" s="6" t="s">
        <v>15</v>
      </c>
      <c r="F6" s="6" t="s">
        <v>477</v>
      </c>
      <c r="G6" s="71">
        <v>41697</v>
      </c>
      <c r="H6" s="62">
        <v>88.8</v>
      </c>
      <c r="I6" s="8">
        <f t="shared" si="0"/>
        <v>0.2432876712328767</v>
      </c>
      <c r="J6" s="8">
        <f t="shared" si="1"/>
        <v>7.3999999999999995</v>
      </c>
      <c r="K6" s="8">
        <v>45.25</v>
      </c>
      <c r="L6" s="8">
        <f t="shared" si="2"/>
        <v>0.12397260273972603</v>
      </c>
      <c r="M6" s="63">
        <f t="shared" si="3"/>
        <v>3.7708333333333335</v>
      </c>
      <c r="N6" s="64">
        <f t="shared" si="4"/>
        <v>-0.11931506849315067</v>
      </c>
      <c r="O6" s="62">
        <v>0</v>
      </c>
      <c r="P6" s="8">
        <f t="shared" si="5"/>
        <v>0</v>
      </c>
      <c r="Q6" s="8">
        <f t="shared" si="6"/>
        <v>0</v>
      </c>
      <c r="R6" s="8">
        <v>0</v>
      </c>
      <c r="S6" s="8">
        <f t="shared" si="7"/>
        <v>0</v>
      </c>
      <c r="T6" s="63">
        <f t="shared" si="8"/>
        <v>0</v>
      </c>
      <c r="U6" s="65">
        <f t="shared" si="9"/>
        <v>0</v>
      </c>
      <c r="V6" s="62">
        <v>88.8</v>
      </c>
      <c r="W6" s="8">
        <f t="shared" si="10"/>
        <v>0.2432876712328767</v>
      </c>
      <c r="X6" s="8">
        <f t="shared" si="11"/>
        <v>7.3999999999999995</v>
      </c>
      <c r="Y6" s="8">
        <v>45.25</v>
      </c>
      <c r="Z6" s="8">
        <f t="shared" si="12"/>
        <v>0.12397260273972603</v>
      </c>
      <c r="AA6" s="63">
        <f t="shared" si="13"/>
        <v>3.7708333333333335</v>
      </c>
      <c r="AB6" s="65">
        <f t="shared" si="14"/>
        <v>-0.11931506849315067</v>
      </c>
      <c r="AC6" s="62">
        <v>0</v>
      </c>
      <c r="AD6" s="8">
        <f t="shared" si="15"/>
        <v>0</v>
      </c>
      <c r="AE6" s="8">
        <f t="shared" si="16"/>
        <v>0</v>
      </c>
      <c r="AF6" s="8">
        <v>0</v>
      </c>
      <c r="AG6" s="8">
        <f t="shared" si="17"/>
        <v>0</v>
      </c>
      <c r="AH6" s="63">
        <f t="shared" si="18"/>
        <v>0</v>
      </c>
      <c r="AI6" s="64">
        <f t="shared" si="19"/>
        <v>0</v>
      </c>
      <c r="AJ6" s="62">
        <v>0</v>
      </c>
      <c r="AK6" s="8">
        <f t="shared" si="20"/>
        <v>0</v>
      </c>
      <c r="AL6" s="8">
        <f t="shared" si="21"/>
        <v>0</v>
      </c>
      <c r="AM6" s="8">
        <v>0</v>
      </c>
      <c r="AN6" s="8">
        <f t="shared" si="22"/>
        <v>0</v>
      </c>
      <c r="AO6" s="63">
        <f t="shared" si="23"/>
        <v>0</v>
      </c>
      <c r="AP6" s="64">
        <f t="shared" si="24"/>
        <v>0</v>
      </c>
      <c r="AQ6" s="66">
        <v>0</v>
      </c>
      <c r="AR6" s="37">
        <f t="shared" si="25"/>
        <v>0</v>
      </c>
      <c r="AS6" s="37">
        <f t="shared" si="26"/>
        <v>0</v>
      </c>
      <c r="AT6" s="37">
        <v>0</v>
      </c>
      <c r="AU6" s="37">
        <f t="shared" si="27"/>
        <v>0</v>
      </c>
      <c r="AV6" s="67">
        <f t="shared" si="28"/>
        <v>0</v>
      </c>
      <c r="AW6" s="64">
        <f t="shared" si="29"/>
        <v>0</v>
      </c>
      <c r="AX6" s="68" t="s">
        <v>482</v>
      </c>
      <c r="AY6" s="69">
        <v>9</v>
      </c>
      <c r="AZ6" s="6" t="s">
        <v>483</v>
      </c>
      <c r="BA6" s="6" t="s">
        <v>469</v>
      </c>
    </row>
    <row r="7" spans="1:53" ht="30">
      <c r="A7" s="72" t="s">
        <v>464</v>
      </c>
      <c r="B7" s="72" t="s">
        <v>484</v>
      </c>
      <c r="C7" s="72" t="s">
        <v>484</v>
      </c>
      <c r="D7" s="73" t="s">
        <v>481</v>
      </c>
      <c r="E7" s="73"/>
      <c r="F7" s="73" t="s">
        <v>477</v>
      </c>
      <c r="G7" s="74">
        <v>41697</v>
      </c>
      <c r="H7" s="66">
        <v>0</v>
      </c>
      <c r="I7" s="37">
        <f t="shared" si="0"/>
        <v>0</v>
      </c>
      <c r="J7" s="37">
        <f t="shared" si="1"/>
        <v>0</v>
      </c>
      <c r="K7" s="37">
        <v>0</v>
      </c>
      <c r="L7" s="37">
        <f t="shared" si="2"/>
        <v>0</v>
      </c>
      <c r="M7" s="67">
        <f t="shared" si="3"/>
        <v>0</v>
      </c>
      <c r="N7" s="64">
        <f t="shared" si="4"/>
        <v>0</v>
      </c>
      <c r="O7" s="62">
        <v>0</v>
      </c>
      <c r="P7" s="8">
        <f t="shared" si="5"/>
        <v>0</v>
      </c>
      <c r="Q7" s="8">
        <f t="shared" si="6"/>
        <v>0</v>
      </c>
      <c r="R7" s="8">
        <v>0</v>
      </c>
      <c r="S7" s="8">
        <f t="shared" si="7"/>
        <v>0</v>
      </c>
      <c r="T7" s="63">
        <f t="shared" si="8"/>
        <v>0</v>
      </c>
      <c r="U7" s="65">
        <f t="shared" si="9"/>
        <v>0</v>
      </c>
      <c r="V7" s="62">
        <v>0</v>
      </c>
      <c r="W7" s="8">
        <f t="shared" si="10"/>
        <v>0</v>
      </c>
      <c r="X7" s="8">
        <f t="shared" si="11"/>
        <v>0</v>
      </c>
      <c r="Y7" s="8">
        <v>0</v>
      </c>
      <c r="Z7" s="8">
        <f t="shared" si="12"/>
        <v>0</v>
      </c>
      <c r="AA7" s="63">
        <f t="shared" si="13"/>
        <v>0</v>
      </c>
      <c r="AB7" s="65">
        <f t="shared" si="14"/>
        <v>0</v>
      </c>
      <c r="AC7" s="62">
        <v>0</v>
      </c>
      <c r="AD7" s="8">
        <f t="shared" si="15"/>
        <v>0</v>
      </c>
      <c r="AE7" s="8">
        <f t="shared" si="16"/>
        <v>0</v>
      </c>
      <c r="AF7" s="8">
        <v>0</v>
      </c>
      <c r="AG7" s="8">
        <f t="shared" si="17"/>
        <v>0</v>
      </c>
      <c r="AH7" s="63">
        <f t="shared" si="18"/>
        <v>0</v>
      </c>
      <c r="AI7" s="64">
        <f t="shared" si="19"/>
        <v>0</v>
      </c>
      <c r="AJ7" s="62">
        <v>0</v>
      </c>
      <c r="AK7" s="8">
        <f t="shared" si="20"/>
        <v>0</v>
      </c>
      <c r="AL7" s="8">
        <f t="shared" si="21"/>
        <v>0</v>
      </c>
      <c r="AM7" s="8">
        <v>0</v>
      </c>
      <c r="AN7" s="8">
        <f t="shared" si="22"/>
        <v>0</v>
      </c>
      <c r="AO7" s="63">
        <f t="shared" si="23"/>
        <v>0</v>
      </c>
      <c r="AP7" s="64">
        <f t="shared" si="24"/>
        <v>0</v>
      </c>
      <c r="AQ7" s="66">
        <v>0</v>
      </c>
      <c r="AR7" s="37">
        <f t="shared" si="25"/>
        <v>0</v>
      </c>
      <c r="AS7" s="37">
        <f t="shared" si="26"/>
        <v>0</v>
      </c>
      <c r="AT7" s="37">
        <v>0</v>
      </c>
      <c r="AU7" s="37">
        <f t="shared" si="27"/>
        <v>0</v>
      </c>
      <c r="AV7" s="67">
        <f t="shared" si="28"/>
        <v>0</v>
      </c>
      <c r="AW7" s="64">
        <f t="shared" si="29"/>
        <v>0</v>
      </c>
      <c r="AX7" s="75"/>
      <c r="AY7" s="76"/>
      <c r="AZ7" s="73" t="s">
        <v>485</v>
      </c>
      <c r="BA7" s="73" t="s">
        <v>486</v>
      </c>
    </row>
    <row r="8" spans="1:53" ht="45">
      <c r="A8" s="7" t="s">
        <v>464</v>
      </c>
      <c r="B8" s="7" t="s">
        <v>487</v>
      </c>
      <c r="C8" s="7" t="s">
        <v>487</v>
      </c>
      <c r="D8" s="77" t="s">
        <v>488</v>
      </c>
      <c r="E8" s="6" t="s">
        <v>489</v>
      </c>
      <c r="F8" s="6" t="s">
        <v>467</v>
      </c>
      <c r="G8" s="61">
        <v>41703</v>
      </c>
      <c r="H8" s="62">
        <v>0</v>
      </c>
      <c r="I8" s="8">
        <f t="shared" si="0"/>
        <v>0</v>
      </c>
      <c r="J8" s="8">
        <f t="shared" si="1"/>
        <v>0</v>
      </c>
      <c r="K8" s="8">
        <f>1.378+1.378</f>
        <v>2.7559999999999998</v>
      </c>
      <c r="L8" s="8">
        <f t="shared" si="2"/>
        <v>7.5506849315068484E-3</v>
      </c>
      <c r="M8" s="63">
        <f t="shared" si="3"/>
        <v>0.22966666666666666</v>
      </c>
      <c r="N8" s="64">
        <f t="shared" si="4"/>
        <v>7.5506849315068484E-3</v>
      </c>
      <c r="O8" s="62">
        <v>0</v>
      </c>
      <c r="P8" s="8">
        <f t="shared" si="5"/>
        <v>0</v>
      </c>
      <c r="Q8" s="8">
        <f t="shared" si="6"/>
        <v>0</v>
      </c>
      <c r="R8" s="8">
        <v>0</v>
      </c>
      <c r="S8" s="8">
        <f t="shared" si="7"/>
        <v>0</v>
      </c>
      <c r="T8" s="63">
        <f t="shared" si="8"/>
        <v>0</v>
      </c>
      <c r="U8" s="65">
        <f t="shared" si="9"/>
        <v>0</v>
      </c>
      <c r="V8" s="62">
        <v>0</v>
      </c>
      <c r="W8" s="8">
        <f t="shared" si="10"/>
        <v>0</v>
      </c>
      <c r="X8" s="8">
        <f t="shared" si="11"/>
        <v>0</v>
      </c>
      <c r="Y8" s="8">
        <f>1.378+1.378</f>
        <v>2.7559999999999998</v>
      </c>
      <c r="Z8" s="8">
        <f t="shared" si="12"/>
        <v>7.5506849315068484E-3</v>
      </c>
      <c r="AA8" s="63">
        <f t="shared" si="13"/>
        <v>0.22966666666666666</v>
      </c>
      <c r="AB8" s="65">
        <f t="shared" si="14"/>
        <v>7.5506849315068484E-3</v>
      </c>
      <c r="AC8" s="62">
        <v>0</v>
      </c>
      <c r="AD8" s="8">
        <f t="shared" si="15"/>
        <v>0</v>
      </c>
      <c r="AE8" s="8">
        <f t="shared" si="16"/>
        <v>0</v>
      </c>
      <c r="AF8" s="8">
        <v>0</v>
      </c>
      <c r="AG8" s="8">
        <f t="shared" si="17"/>
        <v>0</v>
      </c>
      <c r="AH8" s="63">
        <f t="shared" si="18"/>
        <v>0</v>
      </c>
      <c r="AI8" s="64">
        <f t="shared" si="19"/>
        <v>0</v>
      </c>
      <c r="AJ8" s="62">
        <v>0</v>
      </c>
      <c r="AK8" s="8">
        <f t="shared" si="20"/>
        <v>0</v>
      </c>
      <c r="AL8" s="8">
        <f t="shared" si="21"/>
        <v>0</v>
      </c>
      <c r="AM8" s="8">
        <v>0</v>
      </c>
      <c r="AN8" s="8">
        <f t="shared" si="22"/>
        <v>0</v>
      </c>
      <c r="AO8" s="63">
        <f t="shared" si="23"/>
        <v>0</v>
      </c>
      <c r="AP8" s="64">
        <f t="shared" si="24"/>
        <v>0</v>
      </c>
      <c r="AQ8" s="66">
        <v>0</v>
      </c>
      <c r="AR8" s="37">
        <f t="shared" si="25"/>
        <v>0</v>
      </c>
      <c r="AS8" s="37">
        <f t="shared" si="26"/>
        <v>0</v>
      </c>
      <c r="AT8" s="37">
        <f>1.378+1.378</f>
        <v>2.7559999999999998</v>
      </c>
      <c r="AU8" s="37">
        <f t="shared" si="27"/>
        <v>7.5506849315068484E-3</v>
      </c>
      <c r="AV8" s="67">
        <f t="shared" si="28"/>
        <v>0.22966666666666666</v>
      </c>
      <c r="AW8" s="64">
        <f t="shared" si="29"/>
        <v>7.5506849315068484E-3</v>
      </c>
      <c r="AX8" s="68">
        <v>20</v>
      </c>
      <c r="AY8" s="69">
        <v>10</v>
      </c>
      <c r="AZ8" s="6" t="s">
        <v>490</v>
      </c>
      <c r="BA8" s="6" t="s">
        <v>469</v>
      </c>
    </row>
    <row r="9" spans="1:53" ht="30">
      <c r="A9" s="7" t="s">
        <v>464</v>
      </c>
      <c r="B9" s="7" t="s">
        <v>491</v>
      </c>
      <c r="C9" s="7" t="s">
        <v>491</v>
      </c>
      <c r="D9" s="6" t="s">
        <v>492</v>
      </c>
      <c r="E9" s="6" t="s">
        <v>15</v>
      </c>
      <c r="F9" s="6" t="s">
        <v>467</v>
      </c>
      <c r="G9" s="71">
        <v>41708</v>
      </c>
      <c r="H9" s="62">
        <v>0</v>
      </c>
      <c r="I9" s="8">
        <f t="shared" si="0"/>
        <v>0</v>
      </c>
      <c r="J9" s="8">
        <f t="shared" si="1"/>
        <v>0</v>
      </c>
      <c r="K9" s="8">
        <v>10.66</v>
      </c>
      <c r="L9" s="8">
        <f t="shared" si="2"/>
        <v>2.9205479452054796E-2</v>
      </c>
      <c r="M9" s="63">
        <f t="shared" si="3"/>
        <v>0.88833333333333331</v>
      </c>
      <c r="N9" s="64">
        <f t="shared" si="4"/>
        <v>2.9205479452054796E-2</v>
      </c>
      <c r="O9" s="62">
        <v>0</v>
      </c>
      <c r="P9" s="8">
        <f t="shared" si="5"/>
        <v>0</v>
      </c>
      <c r="Q9" s="8">
        <f t="shared" si="6"/>
        <v>0</v>
      </c>
      <c r="R9" s="8">
        <v>0</v>
      </c>
      <c r="S9" s="8">
        <f t="shared" si="7"/>
        <v>0</v>
      </c>
      <c r="T9" s="63">
        <f t="shared" si="8"/>
        <v>0</v>
      </c>
      <c r="U9" s="65">
        <f t="shared" si="9"/>
        <v>0</v>
      </c>
      <c r="V9" s="62">
        <v>0</v>
      </c>
      <c r="W9" s="8">
        <f t="shared" si="10"/>
        <v>0</v>
      </c>
      <c r="X9" s="8">
        <f t="shared" si="11"/>
        <v>0</v>
      </c>
      <c r="Y9" s="8">
        <v>10.66</v>
      </c>
      <c r="Z9" s="8">
        <f t="shared" si="12"/>
        <v>2.9205479452054796E-2</v>
      </c>
      <c r="AA9" s="63">
        <f t="shared" si="13"/>
        <v>0.88833333333333331</v>
      </c>
      <c r="AB9" s="65">
        <f t="shared" si="14"/>
        <v>2.9205479452054796E-2</v>
      </c>
      <c r="AC9" s="62">
        <v>0</v>
      </c>
      <c r="AD9" s="8">
        <f t="shared" si="15"/>
        <v>0</v>
      </c>
      <c r="AE9" s="8">
        <f t="shared" si="16"/>
        <v>0</v>
      </c>
      <c r="AF9" s="8">
        <v>0</v>
      </c>
      <c r="AG9" s="8">
        <f t="shared" si="17"/>
        <v>0</v>
      </c>
      <c r="AH9" s="63">
        <f t="shared" si="18"/>
        <v>0</v>
      </c>
      <c r="AI9" s="64">
        <f t="shared" si="19"/>
        <v>0</v>
      </c>
      <c r="AJ9" s="62">
        <v>0</v>
      </c>
      <c r="AK9" s="8">
        <f t="shared" si="20"/>
        <v>0</v>
      </c>
      <c r="AL9" s="8">
        <f t="shared" si="21"/>
        <v>0</v>
      </c>
      <c r="AM9" s="8">
        <v>0</v>
      </c>
      <c r="AN9" s="8">
        <f t="shared" si="22"/>
        <v>0</v>
      </c>
      <c r="AO9" s="63">
        <f t="shared" si="23"/>
        <v>0</v>
      </c>
      <c r="AP9" s="64">
        <f t="shared" si="24"/>
        <v>0</v>
      </c>
      <c r="AQ9" s="66">
        <v>0</v>
      </c>
      <c r="AR9" s="37">
        <f t="shared" si="25"/>
        <v>0</v>
      </c>
      <c r="AS9" s="37">
        <f t="shared" si="26"/>
        <v>0</v>
      </c>
      <c r="AT9" s="37">
        <v>0</v>
      </c>
      <c r="AU9" s="37">
        <f t="shared" si="27"/>
        <v>0</v>
      </c>
      <c r="AV9" s="67">
        <f t="shared" si="28"/>
        <v>0</v>
      </c>
      <c r="AW9" s="64">
        <f t="shared" si="29"/>
        <v>0</v>
      </c>
      <c r="AX9" s="68">
        <v>20</v>
      </c>
      <c r="AY9" s="69">
        <v>10</v>
      </c>
      <c r="AZ9" s="6" t="s">
        <v>493</v>
      </c>
      <c r="BA9" s="6" t="s">
        <v>469</v>
      </c>
    </row>
    <row r="10" spans="1:53">
      <c r="A10" s="7" t="s">
        <v>464</v>
      </c>
      <c r="B10" s="7" t="s">
        <v>494</v>
      </c>
      <c r="C10" s="7" t="s">
        <v>494</v>
      </c>
      <c r="D10" s="6" t="s">
        <v>495</v>
      </c>
      <c r="E10" s="6" t="s">
        <v>15</v>
      </c>
      <c r="F10" s="6" t="s">
        <v>467</v>
      </c>
      <c r="G10" s="71">
        <v>41708</v>
      </c>
      <c r="H10" s="62">
        <v>0</v>
      </c>
      <c r="I10" s="8">
        <f t="shared" si="0"/>
        <v>0</v>
      </c>
      <c r="J10" s="8">
        <f t="shared" si="1"/>
        <v>0</v>
      </c>
      <c r="K10" s="8">
        <v>5.4</v>
      </c>
      <c r="L10" s="8">
        <f t="shared" si="2"/>
        <v>1.4794520547945207E-2</v>
      </c>
      <c r="M10" s="63">
        <f t="shared" si="3"/>
        <v>0.45</v>
      </c>
      <c r="N10" s="64">
        <f t="shared" si="4"/>
        <v>1.4794520547945207E-2</v>
      </c>
      <c r="O10" s="62">
        <v>0</v>
      </c>
      <c r="P10" s="8">
        <f t="shared" si="5"/>
        <v>0</v>
      </c>
      <c r="Q10" s="8">
        <f t="shared" si="6"/>
        <v>0</v>
      </c>
      <c r="R10" s="8">
        <v>0</v>
      </c>
      <c r="S10" s="8">
        <f t="shared" si="7"/>
        <v>0</v>
      </c>
      <c r="T10" s="63">
        <f t="shared" si="8"/>
        <v>0</v>
      </c>
      <c r="U10" s="65">
        <f t="shared" si="9"/>
        <v>0</v>
      </c>
      <c r="V10" s="62">
        <v>0</v>
      </c>
      <c r="W10" s="8">
        <f t="shared" si="10"/>
        <v>0</v>
      </c>
      <c r="X10" s="8">
        <f t="shared" si="11"/>
        <v>0</v>
      </c>
      <c r="Y10" s="8">
        <v>5.4</v>
      </c>
      <c r="Z10" s="8">
        <f t="shared" si="12"/>
        <v>1.4794520547945207E-2</v>
      </c>
      <c r="AA10" s="63">
        <f t="shared" si="13"/>
        <v>0.45</v>
      </c>
      <c r="AB10" s="65">
        <f t="shared" si="14"/>
        <v>1.4794520547945207E-2</v>
      </c>
      <c r="AC10" s="62">
        <v>0</v>
      </c>
      <c r="AD10" s="8">
        <f t="shared" si="15"/>
        <v>0</v>
      </c>
      <c r="AE10" s="8">
        <f t="shared" si="16"/>
        <v>0</v>
      </c>
      <c r="AF10" s="8">
        <v>0</v>
      </c>
      <c r="AG10" s="8">
        <f t="shared" si="17"/>
        <v>0</v>
      </c>
      <c r="AH10" s="63">
        <f t="shared" si="18"/>
        <v>0</v>
      </c>
      <c r="AI10" s="64">
        <f t="shared" si="19"/>
        <v>0</v>
      </c>
      <c r="AJ10" s="62">
        <v>0</v>
      </c>
      <c r="AK10" s="8">
        <f t="shared" si="20"/>
        <v>0</v>
      </c>
      <c r="AL10" s="8">
        <f t="shared" si="21"/>
        <v>0</v>
      </c>
      <c r="AM10" s="8">
        <v>0</v>
      </c>
      <c r="AN10" s="8">
        <f t="shared" si="22"/>
        <v>0</v>
      </c>
      <c r="AO10" s="63">
        <f t="shared" si="23"/>
        <v>0</v>
      </c>
      <c r="AP10" s="64">
        <f t="shared" si="24"/>
        <v>0</v>
      </c>
      <c r="AQ10" s="66">
        <v>0</v>
      </c>
      <c r="AR10" s="37">
        <f t="shared" si="25"/>
        <v>0</v>
      </c>
      <c r="AS10" s="37">
        <f t="shared" si="26"/>
        <v>0</v>
      </c>
      <c r="AT10" s="37">
        <v>0</v>
      </c>
      <c r="AU10" s="37">
        <f t="shared" si="27"/>
        <v>0</v>
      </c>
      <c r="AV10" s="67">
        <f t="shared" si="28"/>
        <v>0</v>
      </c>
      <c r="AW10" s="64">
        <f t="shared" si="29"/>
        <v>0</v>
      </c>
      <c r="AX10" s="68">
        <v>20</v>
      </c>
      <c r="AY10" s="69">
        <v>10</v>
      </c>
      <c r="AZ10" s="6"/>
      <c r="BA10" s="6" t="s">
        <v>469</v>
      </c>
    </row>
    <row r="11" spans="1:53" ht="30">
      <c r="A11" s="7" t="s">
        <v>464</v>
      </c>
      <c r="B11" s="7" t="s">
        <v>496</v>
      </c>
      <c r="C11" s="7" t="s">
        <v>496</v>
      </c>
      <c r="D11" s="6" t="s">
        <v>497</v>
      </c>
      <c r="E11" s="6" t="s">
        <v>498</v>
      </c>
      <c r="F11" s="6" t="s">
        <v>477</v>
      </c>
      <c r="G11" s="61">
        <v>41723</v>
      </c>
      <c r="H11" s="62">
        <v>107.68</v>
      </c>
      <c r="I11" s="8">
        <f t="shared" si="0"/>
        <v>0.29501369863013699</v>
      </c>
      <c r="J11" s="8">
        <f t="shared" si="1"/>
        <v>8.9733333333333345</v>
      </c>
      <c r="K11" s="8">
        <v>0</v>
      </c>
      <c r="L11" s="8">
        <f t="shared" si="2"/>
        <v>0</v>
      </c>
      <c r="M11" s="63">
        <f t="shared" si="3"/>
        <v>0</v>
      </c>
      <c r="N11" s="64">
        <f t="shared" si="4"/>
        <v>-0.29501369863013699</v>
      </c>
      <c r="O11" s="62">
        <v>0</v>
      </c>
      <c r="P11" s="8">
        <f t="shared" si="5"/>
        <v>0</v>
      </c>
      <c r="Q11" s="8">
        <f t="shared" si="6"/>
        <v>0</v>
      </c>
      <c r="R11" s="8">
        <v>0</v>
      </c>
      <c r="S11" s="8">
        <f t="shared" si="7"/>
        <v>0</v>
      </c>
      <c r="T11" s="63">
        <f t="shared" si="8"/>
        <v>0</v>
      </c>
      <c r="U11" s="65">
        <f t="shared" si="9"/>
        <v>0</v>
      </c>
      <c r="V11" s="62">
        <v>107.68</v>
      </c>
      <c r="W11" s="8">
        <f t="shared" si="10"/>
        <v>0.29501369863013699</v>
      </c>
      <c r="X11" s="8">
        <f t="shared" si="11"/>
        <v>8.9733333333333345</v>
      </c>
      <c r="Y11" s="8">
        <v>0</v>
      </c>
      <c r="Z11" s="8">
        <f t="shared" si="12"/>
        <v>0</v>
      </c>
      <c r="AA11" s="63">
        <f t="shared" si="13"/>
        <v>0</v>
      </c>
      <c r="AB11" s="65">
        <f t="shared" si="14"/>
        <v>-0.29501369863013699</v>
      </c>
      <c r="AC11" s="62">
        <v>0</v>
      </c>
      <c r="AD11" s="8">
        <f t="shared" si="15"/>
        <v>0</v>
      </c>
      <c r="AE11" s="8">
        <f t="shared" si="16"/>
        <v>0</v>
      </c>
      <c r="AF11" s="8">
        <v>0</v>
      </c>
      <c r="AG11" s="8">
        <f t="shared" si="17"/>
        <v>0</v>
      </c>
      <c r="AH11" s="63">
        <f t="shared" si="18"/>
        <v>0</v>
      </c>
      <c r="AI11" s="64">
        <f t="shared" si="19"/>
        <v>0</v>
      </c>
      <c r="AJ11" s="62">
        <v>0</v>
      </c>
      <c r="AK11" s="8">
        <f t="shared" si="20"/>
        <v>0</v>
      </c>
      <c r="AL11" s="8">
        <f t="shared" si="21"/>
        <v>0</v>
      </c>
      <c r="AM11" s="8">
        <v>0</v>
      </c>
      <c r="AN11" s="8">
        <f t="shared" si="22"/>
        <v>0</v>
      </c>
      <c r="AO11" s="63">
        <f t="shared" si="23"/>
        <v>0</v>
      </c>
      <c r="AP11" s="64">
        <f t="shared" si="24"/>
        <v>0</v>
      </c>
      <c r="AQ11" s="66">
        <v>0</v>
      </c>
      <c r="AR11" s="37">
        <f t="shared" si="25"/>
        <v>0</v>
      </c>
      <c r="AS11" s="37">
        <f t="shared" si="26"/>
        <v>0</v>
      </c>
      <c r="AT11" s="37">
        <v>0</v>
      </c>
      <c r="AU11" s="37">
        <f t="shared" si="27"/>
        <v>0</v>
      </c>
      <c r="AV11" s="67">
        <f t="shared" si="28"/>
        <v>0</v>
      </c>
      <c r="AW11" s="64">
        <f t="shared" si="29"/>
        <v>0</v>
      </c>
      <c r="AX11" s="68" t="s">
        <v>482</v>
      </c>
      <c r="AY11" s="69">
        <v>12</v>
      </c>
      <c r="AZ11" s="6" t="s">
        <v>499</v>
      </c>
      <c r="BA11" s="6" t="s">
        <v>469</v>
      </c>
    </row>
    <row r="12" spans="1:53" ht="30">
      <c r="A12" s="7" t="s">
        <v>464</v>
      </c>
      <c r="B12" s="7" t="s">
        <v>500</v>
      </c>
      <c r="C12" s="7" t="s">
        <v>500</v>
      </c>
      <c r="D12" s="6" t="s">
        <v>501</v>
      </c>
      <c r="E12" s="6" t="s">
        <v>15</v>
      </c>
      <c r="F12" s="6" t="s">
        <v>467</v>
      </c>
      <c r="G12" s="71">
        <v>41736</v>
      </c>
      <c r="H12" s="62">
        <v>119.95</v>
      </c>
      <c r="I12" s="8">
        <f t="shared" si="0"/>
        <v>0.32863013698630139</v>
      </c>
      <c r="J12" s="8">
        <f t="shared" si="1"/>
        <v>9.9958333333333336</v>
      </c>
      <c r="K12" s="8">
        <v>119.95</v>
      </c>
      <c r="L12" s="8">
        <f t="shared" si="2"/>
        <v>0.32863013698630139</v>
      </c>
      <c r="M12" s="63">
        <f t="shared" si="3"/>
        <v>9.9958333333333336</v>
      </c>
      <c r="N12" s="64">
        <f t="shared" si="4"/>
        <v>0</v>
      </c>
      <c r="O12" s="62">
        <v>0</v>
      </c>
      <c r="P12" s="8">
        <f t="shared" si="5"/>
        <v>0</v>
      </c>
      <c r="Q12" s="8">
        <f t="shared" si="6"/>
        <v>0</v>
      </c>
      <c r="R12" s="8">
        <v>0</v>
      </c>
      <c r="S12" s="8">
        <f t="shared" si="7"/>
        <v>0</v>
      </c>
      <c r="T12" s="63">
        <f t="shared" si="8"/>
        <v>0</v>
      </c>
      <c r="U12" s="65">
        <f t="shared" si="9"/>
        <v>0</v>
      </c>
      <c r="V12" s="62">
        <v>119.95</v>
      </c>
      <c r="W12" s="8">
        <f t="shared" si="10"/>
        <v>0.32863013698630139</v>
      </c>
      <c r="X12" s="8">
        <f t="shared" si="11"/>
        <v>9.9958333333333336</v>
      </c>
      <c r="Y12" s="8">
        <v>119.95</v>
      </c>
      <c r="Z12" s="8">
        <f t="shared" si="12"/>
        <v>0.32863013698630139</v>
      </c>
      <c r="AA12" s="63">
        <f t="shared" si="13"/>
        <v>9.9958333333333336</v>
      </c>
      <c r="AB12" s="65">
        <f t="shared" si="14"/>
        <v>0</v>
      </c>
      <c r="AC12" s="62">
        <v>0</v>
      </c>
      <c r="AD12" s="8">
        <f t="shared" si="15"/>
        <v>0</v>
      </c>
      <c r="AE12" s="8">
        <f t="shared" si="16"/>
        <v>0</v>
      </c>
      <c r="AF12" s="8">
        <v>0</v>
      </c>
      <c r="AG12" s="8">
        <f t="shared" si="17"/>
        <v>0</v>
      </c>
      <c r="AH12" s="63">
        <f t="shared" si="18"/>
        <v>0</v>
      </c>
      <c r="AI12" s="64">
        <f t="shared" si="19"/>
        <v>0</v>
      </c>
      <c r="AJ12" s="62">
        <v>0</v>
      </c>
      <c r="AK12" s="8">
        <f t="shared" si="20"/>
        <v>0</v>
      </c>
      <c r="AL12" s="8">
        <f t="shared" si="21"/>
        <v>0</v>
      </c>
      <c r="AM12" s="8">
        <v>0</v>
      </c>
      <c r="AN12" s="8">
        <f t="shared" si="22"/>
        <v>0</v>
      </c>
      <c r="AO12" s="63">
        <f t="shared" si="23"/>
        <v>0</v>
      </c>
      <c r="AP12" s="64">
        <f t="shared" si="24"/>
        <v>0</v>
      </c>
      <c r="AQ12" s="66">
        <v>0</v>
      </c>
      <c r="AR12" s="37">
        <f t="shared" si="25"/>
        <v>0</v>
      </c>
      <c r="AS12" s="37">
        <f t="shared" si="26"/>
        <v>0</v>
      </c>
      <c r="AT12" s="37">
        <v>0</v>
      </c>
      <c r="AU12" s="37">
        <f t="shared" si="27"/>
        <v>0</v>
      </c>
      <c r="AV12" s="67">
        <f t="shared" si="28"/>
        <v>0</v>
      </c>
      <c r="AW12" s="64">
        <f t="shared" si="29"/>
        <v>0</v>
      </c>
      <c r="AX12" s="68" t="s">
        <v>482</v>
      </c>
      <c r="AY12" s="69">
        <v>7</v>
      </c>
      <c r="AZ12" s="6" t="s">
        <v>502</v>
      </c>
      <c r="BA12" s="6" t="s">
        <v>469</v>
      </c>
    </row>
    <row r="13" spans="1:53" ht="30">
      <c r="A13" s="7" t="s">
        <v>464</v>
      </c>
      <c r="B13" s="7" t="s">
        <v>503</v>
      </c>
      <c r="C13" s="7" t="s">
        <v>503</v>
      </c>
      <c r="D13" s="6" t="s">
        <v>492</v>
      </c>
      <c r="E13" s="6" t="s">
        <v>15</v>
      </c>
      <c r="F13" s="6" t="s">
        <v>467</v>
      </c>
      <c r="G13" s="71">
        <v>41745</v>
      </c>
      <c r="H13" s="62">
        <v>10.66</v>
      </c>
      <c r="I13" s="8">
        <f t="shared" si="0"/>
        <v>2.9205479452054796E-2</v>
      </c>
      <c r="J13" s="8">
        <f t="shared" si="1"/>
        <v>0.88833333333333331</v>
      </c>
      <c r="K13" s="8">
        <v>10.66</v>
      </c>
      <c r="L13" s="8">
        <f t="shared" si="2"/>
        <v>2.9205479452054796E-2</v>
      </c>
      <c r="M13" s="63">
        <f t="shared" si="3"/>
        <v>0.88833333333333331</v>
      </c>
      <c r="N13" s="64">
        <f t="shared" si="4"/>
        <v>0</v>
      </c>
      <c r="O13" s="62">
        <v>0</v>
      </c>
      <c r="P13" s="8">
        <f t="shared" si="5"/>
        <v>0</v>
      </c>
      <c r="Q13" s="8">
        <f t="shared" si="6"/>
        <v>0</v>
      </c>
      <c r="R13" s="8">
        <v>0</v>
      </c>
      <c r="S13" s="8">
        <f t="shared" si="7"/>
        <v>0</v>
      </c>
      <c r="T13" s="63">
        <f t="shared" si="8"/>
        <v>0</v>
      </c>
      <c r="U13" s="65">
        <f t="shared" si="9"/>
        <v>0</v>
      </c>
      <c r="V13" s="62">
        <v>10.66</v>
      </c>
      <c r="W13" s="8">
        <f t="shared" si="10"/>
        <v>2.9205479452054796E-2</v>
      </c>
      <c r="X13" s="8">
        <f t="shared" si="11"/>
        <v>0.88833333333333331</v>
      </c>
      <c r="Y13" s="8">
        <v>10.66</v>
      </c>
      <c r="Z13" s="8">
        <f t="shared" si="12"/>
        <v>2.9205479452054796E-2</v>
      </c>
      <c r="AA13" s="63">
        <f t="shared" si="13"/>
        <v>0.88833333333333331</v>
      </c>
      <c r="AB13" s="65">
        <f t="shared" si="14"/>
        <v>0</v>
      </c>
      <c r="AC13" s="62">
        <v>0</v>
      </c>
      <c r="AD13" s="8">
        <f t="shared" si="15"/>
        <v>0</v>
      </c>
      <c r="AE13" s="8">
        <f t="shared" si="16"/>
        <v>0</v>
      </c>
      <c r="AF13" s="8">
        <v>0</v>
      </c>
      <c r="AG13" s="8">
        <f t="shared" si="17"/>
        <v>0</v>
      </c>
      <c r="AH13" s="63">
        <f t="shared" si="18"/>
        <v>0</v>
      </c>
      <c r="AI13" s="64">
        <f t="shared" si="19"/>
        <v>0</v>
      </c>
      <c r="AJ13" s="62">
        <v>0</v>
      </c>
      <c r="AK13" s="8">
        <f t="shared" si="20"/>
        <v>0</v>
      </c>
      <c r="AL13" s="8">
        <f t="shared" si="21"/>
        <v>0</v>
      </c>
      <c r="AM13" s="8">
        <v>0</v>
      </c>
      <c r="AN13" s="8">
        <f t="shared" si="22"/>
        <v>0</v>
      </c>
      <c r="AO13" s="63">
        <f t="shared" si="23"/>
        <v>0</v>
      </c>
      <c r="AP13" s="64">
        <f t="shared" si="24"/>
        <v>0</v>
      </c>
      <c r="AQ13" s="66">
        <v>0</v>
      </c>
      <c r="AR13" s="37">
        <f t="shared" si="25"/>
        <v>0</v>
      </c>
      <c r="AS13" s="37">
        <f t="shared" si="26"/>
        <v>0</v>
      </c>
      <c r="AT13" s="37">
        <v>0</v>
      </c>
      <c r="AU13" s="37">
        <f t="shared" si="27"/>
        <v>0</v>
      </c>
      <c r="AV13" s="67">
        <f t="shared" si="28"/>
        <v>0</v>
      </c>
      <c r="AW13" s="64">
        <f t="shared" si="29"/>
        <v>0</v>
      </c>
      <c r="AX13" s="68" t="s">
        <v>482</v>
      </c>
      <c r="AY13" s="69">
        <v>10</v>
      </c>
      <c r="AZ13" s="6" t="s">
        <v>504</v>
      </c>
      <c r="BA13" s="6" t="s">
        <v>469</v>
      </c>
    </row>
    <row r="14" spans="1:53" ht="30">
      <c r="A14" s="7" t="s">
        <v>464</v>
      </c>
      <c r="B14" s="7" t="s">
        <v>505</v>
      </c>
      <c r="C14" s="7" t="s">
        <v>505</v>
      </c>
      <c r="D14" s="6" t="s">
        <v>506</v>
      </c>
      <c r="E14" s="6" t="s">
        <v>15</v>
      </c>
      <c r="F14" s="6" t="s">
        <v>473</v>
      </c>
      <c r="G14" s="61">
        <v>41745</v>
      </c>
      <c r="H14" s="62">
        <v>0.2</v>
      </c>
      <c r="I14" s="8">
        <f t="shared" si="0"/>
        <v>5.4794520547945212E-4</v>
      </c>
      <c r="J14" s="8">
        <f t="shared" si="1"/>
        <v>1.6666666666666666E-2</v>
      </c>
      <c r="K14" s="8">
        <v>0.2</v>
      </c>
      <c r="L14" s="8">
        <f t="shared" si="2"/>
        <v>5.4794520547945212E-4</v>
      </c>
      <c r="M14" s="63">
        <f t="shared" si="3"/>
        <v>1.6666666666666666E-2</v>
      </c>
      <c r="N14" s="64">
        <f t="shared" si="4"/>
        <v>0</v>
      </c>
      <c r="O14" s="62">
        <v>0</v>
      </c>
      <c r="P14" s="8">
        <f t="shared" si="5"/>
        <v>0</v>
      </c>
      <c r="Q14" s="8">
        <f t="shared" si="6"/>
        <v>0</v>
      </c>
      <c r="R14" s="8">
        <v>0</v>
      </c>
      <c r="S14" s="8">
        <f t="shared" si="7"/>
        <v>0</v>
      </c>
      <c r="T14" s="63">
        <f t="shared" si="8"/>
        <v>0</v>
      </c>
      <c r="U14" s="65">
        <f t="shared" si="9"/>
        <v>0</v>
      </c>
      <c r="V14" s="62">
        <v>0.2</v>
      </c>
      <c r="W14" s="8">
        <f t="shared" si="10"/>
        <v>5.4794520547945212E-4</v>
      </c>
      <c r="X14" s="8">
        <f t="shared" si="11"/>
        <v>1.6666666666666666E-2</v>
      </c>
      <c r="Y14" s="8">
        <v>0.2</v>
      </c>
      <c r="Z14" s="8">
        <f t="shared" si="12"/>
        <v>5.4794520547945212E-4</v>
      </c>
      <c r="AA14" s="63">
        <f t="shared" si="13"/>
        <v>1.6666666666666666E-2</v>
      </c>
      <c r="AB14" s="65">
        <f t="shared" si="14"/>
        <v>0</v>
      </c>
      <c r="AC14" s="62">
        <v>0</v>
      </c>
      <c r="AD14" s="8">
        <f t="shared" si="15"/>
        <v>0</v>
      </c>
      <c r="AE14" s="8">
        <f t="shared" si="16"/>
        <v>0</v>
      </c>
      <c r="AF14" s="8">
        <v>0</v>
      </c>
      <c r="AG14" s="8">
        <f t="shared" si="17"/>
        <v>0</v>
      </c>
      <c r="AH14" s="63">
        <f t="shared" si="18"/>
        <v>0</v>
      </c>
      <c r="AI14" s="64">
        <f t="shared" si="19"/>
        <v>0</v>
      </c>
      <c r="AJ14" s="62">
        <v>0</v>
      </c>
      <c r="AK14" s="8">
        <f t="shared" si="20"/>
        <v>0</v>
      </c>
      <c r="AL14" s="8">
        <f t="shared" si="21"/>
        <v>0</v>
      </c>
      <c r="AM14" s="8">
        <v>0</v>
      </c>
      <c r="AN14" s="8">
        <f t="shared" si="22"/>
        <v>0</v>
      </c>
      <c r="AO14" s="63">
        <f t="shared" si="23"/>
        <v>0</v>
      </c>
      <c r="AP14" s="64">
        <f t="shared" si="24"/>
        <v>0</v>
      </c>
      <c r="AQ14" s="66">
        <v>0</v>
      </c>
      <c r="AR14" s="37">
        <f t="shared" si="25"/>
        <v>0</v>
      </c>
      <c r="AS14" s="37">
        <f t="shared" si="26"/>
        <v>0</v>
      </c>
      <c r="AT14" s="37">
        <v>0</v>
      </c>
      <c r="AU14" s="37">
        <f t="shared" si="27"/>
        <v>0</v>
      </c>
      <c r="AV14" s="67">
        <f t="shared" si="28"/>
        <v>0</v>
      </c>
      <c r="AW14" s="64">
        <f t="shared" si="29"/>
        <v>0</v>
      </c>
      <c r="AX14" s="68">
        <v>10</v>
      </c>
      <c r="AY14" s="69">
        <v>10</v>
      </c>
      <c r="AZ14" s="6"/>
      <c r="BA14" s="6" t="s">
        <v>469</v>
      </c>
    </row>
    <row r="15" spans="1:53" ht="45">
      <c r="A15" s="7" t="s">
        <v>464</v>
      </c>
      <c r="B15" s="7" t="s">
        <v>507</v>
      </c>
      <c r="C15" s="7" t="s">
        <v>507</v>
      </c>
      <c r="D15" s="6" t="s">
        <v>508</v>
      </c>
      <c r="E15" s="6" t="s">
        <v>15</v>
      </c>
      <c r="F15" s="6" t="s">
        <v>467</v>
      </c>
      <c r="G15" s="61">
        <v>41753</v>
      </c>
      <c r="H15" s="62">
        <v>1.75</v>
      </c>
      <c r="I15" s="8">
        <f t="shared" si="0"/>
        <v>4.7945205479452057E-3</v>
      </c>
      <c r="J15" s="8">
        <f t="shared" si="1"/>
        <v>0.14583333333333334</v>
      </c>
      <c r="K15" s="8">
        <v>0</v>
      </c>
      <c r="L15" s="8">
        <f t="shared" si="2"/>
        <v>0</v>
      </c>
      <c r="M15" s="63">
        <f t="shared" si="3"/>
        <v>0</v>
      </c>
      <c r="N15" s="64">
        <f t="shared" si="4"/>
        <v>-4.7945205479452057E-3</v>
      </c>
      <c r="O15" s="62">
        <v>0</v>
      </c>
      <c r="P15" s="8">
        <f t="shared" si="5"/>
        <v>0</v>
      </c>
      <c r="Q15" s="8">
        <f t="shared" si="6"/>
        <v>0</v>
      </c>
      <c r="R15" s="8">
        <v>0</v>
      </c>
      <c r="S15" s="8">
        <f t="shared" si="7"/>
        <v>0</v>
      </c>
      <c r="T15" s="63">
        <f t="shared" si="8"/>
        <v>0</v>
      </c>
      <c r="U15" s="65">
        <f t="shared" si="9"/>
        <v>0</v>
      </c>
      <c r="V15" s="62">
        <v>1.75</v>
      </c>
      <c r="W15" s="8">
        <f t="shared" si="10"/>
        <v>4.7945205479452057E-3</v>
      </c>
      <c r="X15" s="8">
        <f t="shared" si="11"/>
        <v>0.14583333333333334</v>
      </c>
      <c r="Y15" s="8">
        <v>0</v>
      </c>
      <c r="Z15" s="8">
        <f t="shared" si="12"/>
        <v>0</v>
      </c>
      <c r="AA15" s="63">
        <f t="shared" si="13"/>
        <v>0</v>
      </c>
      <c r="AB15" s="65">
        <f t="shared" si="14"/>
        <v>-4.7945205479452057E-3</v>
      </c>
      <c r="AC15" s="62">
        <v>0</v>
      </c>
      <c r="AD15" s="8">
        <f t="shared" si="15"/>
        <v>0</v>
      </c>
      <c r="AE15" s="8">
        <f t="shared" si="16"/>
        <v>0</v>
      </c>
      <c r="AF15" s="8">
        <v>0</v>
      </c>
      <c r="AG15" s="8">
        <f t="shared" si="17"/>
        <v>0</v>
      </c>
      <c r="AH15" s="63">
        <f t="shared" si="18"/>
        <v>0</v>
      </c>
      <c r="AI15" s="64">
        <f t="shared" si="19"/>
        <v>0</v>
      </c>
      <c r="AJ15" s="62">
        <v>0</v>
      </c>
      <c r="AK15" s="8">
        <f t="shared" si="20"/>
        <v>0</v>
      </c>
      <c r="AL15" s="8">
        <f t="shared" si="21"/>
        <v>0</v>
      </c>
      <c r="AM15" s="8">
        <v>0</v>
      </c>
      <c r="AN15" s="8">
        <f t="shared" si="22"/>
        <v>0</v>
      </c>
      <c r="AO15" s="63">
        <f t="shared" si="23"/>
        <v>0</v>
      </c>
      <c r="AP15" s="64">
        <f t="shared" si="24"/>
        <v>0</v>
      </c>
      <c r="AQ15" s="66">
        <v>0</v>
      </c>
      <c r="AR15" s="37">
        <f t="shared" si="25"/>
        <v>0</v>
      </c>
      <c r="AS15" s="37">
        <f t="shared" si="26"/>
        <v>0</v>
      </c>
      <c r="AT15" s="37">
        <v>0</v>
      </c>
      <c r="AU15" s="37">
        <f t="shared" si="27"/>
        <v>0</v>
      </c>
      <c r="AV15" s="67">
        <f t="shared" si="28"/>
        <v>0</v>
      </c>
      <c r="AW15" s="64">
        <f t="shared" si="29"/>
        <v>0</v>
      </c>
      <c r="AX15" s="68">
        <v>0</v>
      </c>
      <c r="AY15" s="69">
        <v>0</v>
      </c>
      <c r="AZ15" s="6" t="s">
        <v>509</v>
      </c>
      <c r="BA15" s="73" t="s">
        <v>510</v>
      </c>
    </row>
    <row r="16" spans="1:53" ht="45">
      <c r="A16" s="7" t="s">
        <v>464</v>
      </c>
      <c r="B16" s="7" t="s">
        <v>511</v>
      </c>
      <c r="C16" s="7" t="s">
        <v>511</v>
      </c>
      <c r="D16" s="60" t="s">
        <v>512</v>
      </c>
      <c r="E16" s="6" t="s">
        <v>513</v>
      </c>
      <c r="F16" s="6" t="s">
        <v>514</v>
      </c>
      <c r="G16" s="78">
        <v>41767</v>
      </c>
      <c r="H16" s="62">
        <f>13.5+10</f>
        <v>23.5</v>
      </c>
      <c r="I16" s="8">
        <f t="shared" si="0"/>
        <v>6.4383561643835616E-2</v>
      </c>
      <c r="J16" s="8">
        <f t="shared" si="1"/>
        <v>1.9583333333333333</v>
      </c>
      <c r="K16" s="8">
        <v>26.2</v>
      </c>
      <c r="L16" s="8">
        <f t="shared" si="2"/>
        <v>7.1780821917808213E-2</v>
      </c>
      <c r="M16" s="63">
        <f t="shared" si="3"/>
        <v>2.1833333333333331</v>
      </c>
      <c r="N16" s="64">
        <f t="shared" si="4"/>
        <v>7.3972602739725973E-3</v>
      </c>
      <c r="O16" s="62">
        <v>9.4</v>
      </c>
      <c r="P16" s="8">
        <f t="shared" si="5"/>
        <v>2.5753424657534246E-2</v>
      </c>
      <c r="Q16" s="8">
        <f t="shared" si="6"/>
        <v>0.78333333333333333</v>
      </c>
      <c r="R16" s="8">
        <f>2.316+2.316+2.316</f>
        <v>6.9479999999999995</v>
      </c>
      <c r="S16" s="8">
        <f t="shared" si="7"/>
        <v>1.9035616438356162E-2</v>
      </c>
      <c r="T16" s="63">
        <f t="shared" si="8"/>
        <v>0.57899999999999996</v>
      </c>
      <c r="U16" s="65">
        <f t="shared" si="9"/>
        <v>-6.7178082191780841E-3</v>
      </c>
      <c r="V16" s="62">
        <f>4.05+4.05+3+3</f>
        <v>14.1</v>
      </c>
      <c r="W16" s="8">
        <f t="shared" si="10"/>
        <v>3.8630136986301369E-2</v>
      </c>
      <c r="X16" s="8">
        <f t="shared" si="11"/>
        <v>1.175</v>
      </c>
      <c r="Y16" s="8">
        <f>5.211+5.211+3.619+5.211</f>
        <v>19.252000000000002</v>
      </c>
      <c r="Z16" s="8">
        <f t="shared" si="12"/>
        <v>5.2745205479452065E-2</v>
      </c>
      <c r="AA16" s="63">
        <f t="shared" si="13"/>
        <v>1.6043333333333336</v>
      </c>
      <c r="AB16" s="65">
        <f t="shared" si="14"/>
        <v>1.4115068493150695E-2</v>
      </c>
      <c r="AC16" s="62">
        <v>0</v>
      </c>
      <c r="AD16" s="8">
        <f t="shared" si="15"/>
        <v>0</v>
      </c>
      <c r="AE16" s="8">
        <f t="shared" si="16"/>
        <v>0</v>
      </c>
      <c r="AF16" s="8">
        <v>0</v>
      </c>
      <c r="AG16" s="8">
        <f t="shared" si="17"/>
        <v>0</v>
      </c>
      <c r="AH16" s="63">
        <f t="shared" si="18"/>
        <v>0</v>
      </c>
      <c r="AI16" s="64">
        <f t="shared" si="19"/>
        <v>0</v>
      </c>
      <c r="AJ16" s="62">
        <v>0</v>
      </c>
      <c r="AK16" s="8">
        <f t="shared" si="20"/>
        <v>0</v>
      </c>
      <c r="AL16" s="8">
        <f t="shared" si="21"/>
        <v>0</v>
      </c>
      <c r="AM16" s="8">
        <v>0</v>
      </c>
      <c r="AN16" s="8">
        <f t="shared" si="22"/>
        <v>0</v>
      </c>
      <c r="AO16" s="63">
        <f t="shared" si="23"/>
        <v>0</v>
      </c>
      <c r="AP16" s="64">
        <f t="shared" si="24"/>
        <v>0</v>
      </c>
      <c r="AQ16" s="66">
        <v>0</v>
      </c>
      <c r="AR16" s="37">
        <f t="shared" si="25"/>
        <v>0</v>
      </c>
      <c r="AS16" s="37">
        <f t="shared" si="26"/>
        <v>0</v>
      </c>
      <c r="AT16" s="37">
        <v>0</v>
      </c>
      <c r="AU16" s="37">
        <f t="shared" si="27"/>
        <v>0</v>
      </c>
      <c r="AV16" s="67">
        <f t="shared" si="28"/>
        <v>0</v>
      </c>
      <c r="AW16" s="64">
        <f t="shared" si="29"/>
        <v>0</v>
      </c>
      <c r="AX16" s="68" t="s">
        <v>515</v>
      </c>
      <c r="AY16" s="69">
        <v>19</v>
      </c>
      <c r="AZ16" s="6" t="s">
        <v>516</v>
      </c>
      <c r="BA16" s="6" t="s">
        <v>469</v>
      </c>
    </row>
    <row r="17" spans="1:53" ht="30">
      <c r="A17" s="7" t="s">
        <v>464</v>
      </c>
      <c r="B17" s="7" t="s">
        <v>517</v>
      </c>
      <c r="C17" s="7" t="s">
        <v>517</v>
      </c>
      <c r="D17" s="60" t="s">
        <v>518</v>
      </c>
      <c r="E17" s="6" t="s">
        <v>15</v>
      </c>
      <c r="F17" s="6" t="s">
        <v>473</v>
      </c>
      <c r="G17" s="61">
        <v>41774</v>
      </c>
      <c r="H17" s="62">
        <v>335.8</v>
      </c>
      <c r="I17" s="8">
        <f t="shared" si="0"/>
        <v>0.92</v>
      </c>
      <c r="J17" s="8">
        <f t="shared" si="1"/>
        <v>27.983333333333334</v>
      </c>
      <c r="K17" s="8">
        <v>276.5</v>
      </c>
      <c r="L17" s="8">
        <f t="shared" si="2"/>
        <v>0.75753424657534252</v>
      </c>
      <c r="M17" s="63">
        <f t="shared" si="3"/>
        <v>23.041666666666668</v>
      </c>
      <c r="N17" s="64">
        <f t="shared" si="4"/>
        <v>-0.16246575342465752</v>
      </c>
      <c r="O17" s="62">
        <v>0</v>
      </c>
      <c r="P17" s="8">
        <f t="shared" si="5"/>
        <v>0</v>
      </c>
      <c r="Q17" s="8">
        <f t="shared" si="6"/>
        <v>0</v>
      </c>
      <c r="R17" s="8">
        <v>0</v>
      </c>
      <c r="S17" s="8">
        <f t="shared" si="7"/>
        <v>0</v>
      </c>
      <c r="T17" s="63">
        <f t="shared" si="8"/>
        <v>0</v>
      </c>
      <c r="U17" s="65">
        <f t="shared" si="9"/>
        <v>0</v>
      </c>
      <c r="V17" s="62">
        <v>335.8</v>
      </c>
      <c r="W17" s="8">
        <f t="shared" si="10"/>
        <v>0.92</v>
      </c>
      <c r="X17" s="8">
        <f t="shared" si="11"/>
        <v>27.983333333333334</v>
      </c>
      <c r="Y17" s="8">
        <v>276.5</v>
      </c>
      <c r="Z17" s="8">
        <f t="shared" si="12"/>
        <v>0.75753424657534252</v>
      </c>
      <c r="AA17" s="63">
        <f t="shared" si="13"/>
        <v>23.041666666666668</v>
      </c>
      <c r="AB17" s="65">
        <f t="shared" si="14"/>
        <v>-0.16246575342465752</v>
      </c>
      <c r="AC17" s="62">
        <v>0</v>
      </c>
      <c r="AD17" s="8">
        <f t="shared" si="15"/>
        <v>0</v>
      </c>
      <c r="AE17" s="8">
        <f t="shared" si="16"/>
        <v>0</v>
      </c>
      <c r="AF17" s="8">
        <v>0</v>
      </c>
      <c r="AG17" s="8">
        <f t="shared" si="17"/>
        <v>0</v>
      </c>
      <c r="AH17" s="63">
        <f t="shared" si="18"/>
        <v>0</v>
      </c>
      <c r="AI17" s="64">
        <f t="shared" si="19"/>
        <v>0</v>
      </c>
      <c r="AJ17" s="62">
        <v>0</v>
      </c>
      <c r="AK17" s="8">
        <f t="shared" si="20"/>
        <v>0</v>
      </c>
      <c r="AL17" s="8">
        <f t="shared" si="21"/>
        <v>0</v>
      </c>
      <c r="AM17" s="8">
        <v>0</v>
      </c>
      <c r="AN17" s="8">
        <f t="shared" si="22"/>
        <v>0</v>
      </c>
      <c r="AO17" s="63">
        <f t="shared" si="23"/>
        <v>0</v>
      </c>
      <c r="AP17" s="64">
        <f t="shared" si="24"/>
        <v>0</v>
      </c>
      <c r="AQ17" s="66">
        <v>0</v>
      </c>
      <c r="AR17" s="37">
        <f t="shared" si="25"/>
        <v>0</v>
      </c>
      <c r="AS17" s="37">
        <f t="shared" si="26"/>
        <v>0</v>
      </c>
      <c r="AT17" s="37">
        <v>0</v>
      </c>
      <c r="AU17" s="37">
        <f t="shared" si="27"/>
        <v>0</v>
      </c>
      <c r="AV17" s="67">
        <f t="shared" si="28"/>
        <v>0</v>
      </c>
      <c r="AW17" s="64">
        <f t="shared" si="29"/>
        <v>0</v>
      </c>
      <c r="AX17" s="68">
        <v>20</v>
      </c>
      <c r="AY17" s="69">
        <v>20</v>
      </c>
      <c r="AZ17" s="6" t="s">
        <v>519</v>
      </c>
      <c r="BA17" s="6" t="s">
        <v>469</v>
      </c>
    </row>
    <row r="18" spans="1:53" ht="90">
      <c r="A18" s="79" t="s">
        <v>464</v>
      </c>
      <c r="B18" s="79" t="s">
        <v>520</v>
      </c>
      <c r="C18" s="79" t="s">
        <v>520</v>
      </c>
      <c r="D18" s="80" t="s">
        <v>521</v>
      </c>
      <c r="E18" s="80" t="s">
        <v>489</v>
      </c>
      <c r="F18" s="80" t="s">
        <v>522</v>
      </c>
      <c r="G18" s="81">
        <v>41775</v>
      </c>
      <c r="H18" s="82">
        <v>6.67</v>
      </c>
      <c r="I18" s="83">
        <f t="shared" si="0"/>
        <v>1.8273972602739726E-2</v>
      </c>
      <c r="J18" s="83">
        <f t="shared" si="1"/>
        <v>0.55583333333333329</v>
      </c>
      <c r="K18" s="83">
        <v>0.28799999999999998</v>
      </c>
      <c r="L18" s="83">
        <f t="shared" si="2"/>
        <v>7.8904109589041094E-4</v>
      </c>
      <c r="M18" s="84">
        <f t="shared" si="3"/>
        <v>2.3999999999999997E-2</v>
      </c>
      <c r="N18" s="64">
        <f t="shared" si="4"/>
        <v>-1.7484931506849315E-2</v>
      </c>
      <c r="O18" s="62">
        <v>0</v>
      </c>
      <c r="P18" s="8">
        <f t="shared" si="5"/>
        <v>0</v>
      </c>
      <c r="Q18" s="8">
        <f t="shared" si="6"/>
        <v>0</v>
      </c>
      <c r="R18" s="8">
        <v>0</v>
      </c>
      <c r="S18" s="8">
        <f t="shared" si="7"/>
        <v>0</v>
      </c>
      <c r="T18" s="63">
        <f t="shared" si="8"/>
        <v>0</v>
      </c>
      <c r="U18" s="65">
        <f t="shared" si="9"/>
        <v>0</v>
      </c>
      <c r="V18" s="62">
        <v>6.67</v>
      </c>
      <c r="W18" s="8">
        <f t="shared" si="10"/>
        <v>1.8273972602739726E-2</v>
      </c>
      <c r="X18" s="8">
        <f t="shared" si="11"/>
        <v>0.55583333333333329</v>
      </c>
      <c r="Y18" s="8">
        <v>0.28799999999999998</v>
      </c>
      <c r="Z18" s="8">
        <f t="shared" si="12"/>
        <v>7.8904109589041094E-4</v>
      </c>
      <c r="AA18" s="63">
        <f t="shared" si="13"/>
        <v>2.3999999999999997E-2</v>
      </c>
      <c r="AB18" s="65">
        <f t="shared" si="14"/>
        <v>-1.7484931506849315E-2</v>
      </c>
      <c r="AC18" s="62">
        <v>0</v>
      </c>
      <c r="AD18" s="8">
        <f t="shared" si="15"/>
        <v>0</v>
      </c>
      <c r="AE18" s="8">
        <f t="shared" si="16"/>
        <v>0</v>
      </c>
      <c r="AF18" s="8">
        <v>0</v>
      </c>
      <c r="AG18" s="8">
        <f t="shared" si="17"/>
        <v>0</v>
      </c>
      <c r="AH18" s="63">
        <f t="shared" si="18"/>
        <v>0</v>
      </c>
      <c r="AI18" s="64">
        <f t="shared" si="19"/>
        <v>0</v>
      </c>
      <c r="AJ18" s="62">
        <v>0</v>
      </c>
      <c r="AK18" s="8">
        <f t="shared" si="20"/>
        <v>0</v>
      </c>
      <c r="AL18" s="8">
        <f t="shared" si="21"/>
        <v>0</v>
      </c>
      <c r="AM18" s="8">
        <v>0</v>
      </c>
      <c r="AN18" s="8">
        <f t="shared" si="22"/>
        <v>0</v>
      </c>
      <c r="AO18" s="63">
        <f t="shared" si="23"/>
        <v>0</v>
      </c>
      <c r="AP18" s="64">
        <f t="shared" si="24"/>
        <v>0</v>
      </c>
      <c r="AQ18" s="66">
        <v>0</v>
      </c>
      <c r="AR18" s="37">
        <f t="shared" si="25"/>
        <v>0</v>
      </c>
      <c r="AS18" s="37">
        <f t="shared" si="26"/>
        <v>0</v>
      </c>
      <c r="AT18" s="37">
        <v>0</v>
      </c>
      <c r="AU18" s="37">
        <f t="shared" si="27"/>
        <v>0</v>
      </c>
      <c r="AV18" s="67">
        <f t="shared" si="28"/>
        <v>0</v>
      </c>
      <c r="AW18" s="64">
        <f t="shared" si="29"/>
        <v>0</v>
      </c>
      <c r="AX18" s="85">
        <v>10</v>
      </c>
      <c r="AY18" s="86">
        <v>10</v>
      </c>
      <c r="AZ18" s="87" t="s">
        <v>523</v>
      </c>
      <c r="BA18" s="80" t="s">
        <v>469</v>
      </c>
    </row>
    <row r="19" spans="1:53">
      <c r="A19" s="88" t="s">
        <v>464</v>
      </c>
      <c r="B19" s="88" t="s">
        <v>524</v>
      </c>
      <c r="C19" s="88" t="s">
        <v>524</v>
      </c>
      <c r="D19" s="89" t="s">
        <v>525</v>
      </c>
      <c r="E19" s="89" t="s">
        <v>86</v>
      </c>
      <c r="F19" s="89" t="s">
        <v>477</v>
      </c>
      <c r="G19" s="90">
        <v>41780</v>
      </c>
      <c r="H19" s="91">
        <v>39858</v>
      </c>
      <c r="I19" s="92">
        <f t="shared" si="0"/>
        <v>109.2</v>
      </c>
      <c r="J19" s="92">
        <f t="shared" si="1"/>
        <v>3321.5</v>
      </c>
      <c r="K19" s="92">
        <v>39858</v>
      </c>
      <c r="L19" s="92">
        <f t="shared" si="2"/>
        <v>109.2</v>
      </c>
      <c r="M19" s="93">
        <f t="shared" si="3"/>
        <v>3321.5</v>
      </c>
      <c r="N19" s="64">
        <f t="shared" si="4"/>
        <v>0</v>
      </c>
      <c r="O19" s="62">
        <v>0</v>
      </c>
      <c r="P19" s="8">
        <f t="shared" si="5"/>
        <v>0</v>
      </c>
      <c r="Q19" s="8">
        <f t="shared" si="6"/>
        <v>0</v>
      </c>
      <c r="R19" s="8">
        <v>0</v>
      </c>
      <c r="S19" s="8">
        <f t="shared" si="7"/>
        <v>0</v>
      </c>
      <c r="T19" s="63">
        <f t="shared" si="8"/>
        <v>0</v>
      </c>
      <c r="U19" s="65">
        <f t="shared" si="9"/>
        <v>0</v>
      </c>
      <c r="V19" s="62">
        <v>0</v>
      </c>
      <c r="W19" s="8">
        <f t="shared" si="10"/>
        <v>0</v>
      </c>
      <c r="X19" s="8">
        <f t="shared" si="11"/>
        <v>0</v>
      </c>
      <c r="Y19" s="8">
        <v>0</v>
      </c>
      <c r="Z19" s="8">
        <f t="shared" si="12"/>
        <v>0</v>
      </c>
      <c r="AA19" s="63">
        <f t="shared" si="13"/>
        <v>0</v>
      </c>
      <c r="AB19" s="65">
        <f t="shared" si="14"/>
        <v>0</v>
      </c>
      <c r="AC19" s="62">
        <v>39858</v>
      </c>
      <c r="AD19" s="8">
        <f t="shared" si="15"/>
        <v>109.2</v>
      </c>
      <c r="AE19" s="8">
        <f t="shared" si="16"/>
        <v>3321.5</v>
      </c>
      <c r="AF19" s="8">
        <v>39858</v>
      </c>
      <c r="AG19" s="8">
        <f t="shared" si="17"/>
        <v>109.2</v>
      </c>
      <c r="AH19" s="63">
        <f t="shared" si="18"/>
        <v>3321.5</v>
      </c>
      <c r="AI19" s="64">
        <f t="shared" si="19"/>
        <v>0</v>
      </c>
      <c r="AJ19" s="62">
        <v>0</v>
      </c>
      <c r="AK19" s="8">
        <f t="shared" si="20"/>
        <v>0</v>
      </c>
      <c r="AL19" s="8">
        <f t="shared" si="21"/>
        <v>0</v>
      </c>
      <c r="AM19" s="8">
        <v>0</v>
      </c>
      <c r="AN19" s="8">
        <f t="shared" si="22"/>
        <v>0</v>
      </c>
      <c r="AO19" s="63">
        <f t="shared" si="23"/>
        <v>0</v>
      </c>
      <c r="AP19" s="64">
        <f t="shared" si="24"/>
        <v>0</v>
      </c>
      <c r="AQ19" s="66">
        <v>0</v>
      </c>
      <c r="AR19" s="37">
        <f t="shared" si="25"/>
        <v>0</v>
      </c>
      <c r="AS19" s="37">
        <f t="shared" si="26"/>
        <v>0</v>
      </c>
      <c r="AT19" s="37">
        <v>0</v>
      </c>
      <c r="AU19" s="37">
        <f t="shared" si="27"/>
        <v>0</v>
      </c>
      <c r="AV19" s="67">
        <f t="shared" si="28"/>
        <v>0</v>
      </c>
      <c r="AW19" s="64">
        <f t="shared" si="29"/>
        <v>0</v>
      </c>
      <c r="AX19" s="94" t="s">
        <v>482</v>
      </c>
      <c r="AY19" s="95">
        <v>9</v>
      </c>
      <c r="AZ19" s="89" t="s">
        <v>526</v>
      </c>
      <c r="BA19" s="89" t="s">
        <v>469</v>
      </c>
    </row>
    <row r="20" spans="1:53" ht="150">
      <c r="A20" s="7" t="s">
        <v>464</v>
      </c>
      <c r="B20" s="7" t="s">
        <v>527</v>
      </c>
      <c r="C20" s="7" t="s">
        <v>527</v>
      </c>
      <c r="D20" s="6" t="s">
        <v>528</v>
      </c>
      <c r="E20" s="6" t="s">
        <v>155</v>
      </c>
      <c r="F20" s="6" t="s">
        <v>467</v>
      </c>
      <c r="G20" s="71">
        <v>41788</v>
      </c>
      <c r="H20" s="62">
        <v>0</v>
      </c>
      <c r="I20" s="8">
        <f t="shared" si="0"/>
        <v>0</v>
      </c>
      <c r="J20" s="8">
        <f t="shared" si="1"/>
        <v>0</v>
      </c>
      <c r="K20" s="8">
        <v>0</v>
      </c>
      <c r="L20" s="8">
        <f t="shared" si="2"/>
        <v>0</v>
      </c>
      <c r="M20" s="63">
        <f t="shared" si="3"/>
        <v>0</v>
      </c>
      <c r="N20" s="64">
        <f t="shared" si="4"/>
        <v>0</v>
      </c>
      <c r="O20" s="62">
        <v>0</v>
      </c>
      <c r="P20" s="8">
        <f t="shared" si="5"/>
        <v>0</v>
      </c>
      <c r="Q20" s="8">
        <f t="shared" si="6"/>
        <v>0</v>
      </c>
      <c r="R20" s="8">
        <v>0</v>
      </c>
      <c r="S20" s="8">
        <f t="shared" si="7"/>
        <v>0</v>
      </c>
      <c r="T20" s="63">
        <f t="shared" si="8"/>
        <v>0</v>
      </c>
      <c r="U20" s="65">
        <f t="shared" si="9"/>
        <v>0</v>
      </c>
      <c r="V20" s="62">
        <v>0</v>
      </c>
      <c r="W20" s="8">
        <f t="shared" si="10"/>
        <v>0</v>
      </c>
      <c r="X20" s="8">
        <f t="shared" si="11"/>
        <v>0</v>
      </c>
      <c r="Y20" s="8">
        <v>0</v>
      </c>
      <c r="Z20" s="8">
        <f t="shared" si="12"/>
        <v>0</v>
      </c>
      <c r="AA20" s="63">
        <f t="shared" si="13"/>
        <v>0</v>
      </c>
      <c r="AB20" s="65">
        <f t="shared" si="14"/>
        <v>0</v>
      </c>
      <c r="AC20" s="62">
        <v>0</v>
      </c>
      <c r="AD20" s="8">
        <f t="shared" si="15"/>
        <v>0</v>
      </c>
      <c r="AE20" s="8">
        <f t="shared" si="16"/>
        <v>0</v>
      </c>
      <c r="AF20" s="8">
        <v>0</v>
      </c>
      <c r="AG20" s="8">
        <f t="shared" si="17"/>
        <v>0</v>
      </c>
      <c r="AH20" s="63">
        <f t="shared" si="18"/>
        <v>0</v>
      </c>
      <c r="AI20" s="64">
        <f t="shared" si="19"/>
        <v>0</v>
      </c>
      <c r="AJ20" s="62">
        <v>0</v>
      </c>
      <c r="AK20" s="8">
        <f t="shared" si="20"/>
        <v>0</v>
      </c>
      <c r="AL20" s="8">
        <f t="shared" si="21"/>
        <v>0</v>
      </c>
      <c r="AM20" s="8">
        <v>0</v>
      </c>
      <c r="AN20" s="8">
        <f t="shared" si="22"/>
        <v>0</v>
      </c>
      <c r="AO20" s="63">
        <f t="shared" si="23"/>
        <v>0</v>
      </c>
      <c r="AP20" s="64">
        <f t="shared" si="24"/>
        <v>0</v>
      </c>
      <c r="AQ20" s="66">
        <v>0</v>
      </c>
      <c r="AR20" s="37">
        <f t="shared" si="25"/>
        <v>0</v>
      </c>
      <c r="AS20" s="37">
        <f t="shared" si="26"/>
        <v>0</v>
      </c>
      <c r="AT20" s="37">
        <v>150.08000000000001</v>
      </c>
      <c r="AU20" s="37">
        <f t="shared" si="27"/>
        <v>0.41117808219178087</v>
      </c>
      <c r="AV20" s="67">
        <f t="shared" si="28"/>
        <v>12.506666666666668</v>
      </c>
      <c r="AW20" s="64">
        <f t="shared" si="29"/>
        <v>0.41117808219178087</v>
      </c>
      <c r="AX20" s="68">
        <v>20</v>
      </c>
      <c r="AY20" s="69">
        <v>10</v>
      </c>
      <c r="AZ20" s="6" t="s">
        <v>529</v>
      </c>
      <c r="BA20" s="6" t="s">
        <v>469</v>
      </c>
    </row>
    <row r="21" spans="1:53">
      <c r="A21" s="7" t="s">
        <v>464</v>
      </c>
      <c r="B21" s="7" t="s">
        <v>530</v>
      </c>
      <c r="C21" s="7" t="s">
        <v>530</v>
      </c>
      <c r="D21" s="6" t="s">
        <v>531</v>
      </c>
      <c r="E21" s="6" t="s">
        <v>15</v>
      </c>
      <c r="F21" s="6" t="s">
        <v>467</v>
      </c>
      <c r="G21" s="71">
        <v>41802</v>
      </c>
      <c r="H21" s="62">
        <v>0</v>
      </c>
      <c r="I21" s="8">
        <f t="shared" si="0"/>
        <v>0</v>
      </c>
      <c r="J21" s="8">
        <f t="shared" si="1"/>
        <v>0</v>
      </c>
      <c r="K21" s="8">
        <v>61.91</v>
      </c>
      <c r="L21" s="8">
        <f t="shared" si="2"/>
        <v>0.16961643835616438</v>
      </c>
      <c r="M21" s="63">
        <f t="shared" si="3"/>
        <v>5.1591666666666667</v>
      </c>
      <c r="N21" s="64">
        <f t="shared" si="4"/>
        <v>0.16961643835616438</v>
      </c>
      <c r="O21" s="62">
        <v>0</v>
      </c>
      <c r="P21" s="8">
        <f t="shared" si="5"/>
        <v>0</v>
      </c>
      <c r="Q21" s="8">
        <f t="shared" si="6"/>
        <v>0</v>
      </c>
      <c r="R21" s="8">
        <v>0</v>
      </c>
      <c r="S21" s="8">
        <f t="shared" si="7"/>
        <v>0</v>
      </c>
      <c r="T21" s="63">
        <f t="shared" si="8"/>
        <v>0</v>
      </c>
      <c r="U21" s="65">
        <f t="shared" si="9"/>
        <v>0</v>
      </c>
      <c r="V21" s="62">
        <v>0</v>
      </c>
      <c r="W21" s="8">
        <f t="shared" si="10"/>
        <v>0</v>
      </c>
      <c r="X21" s="8">
        <f t="shared" si="11"/>
        <v>0</v>
      </c>
      <c r="Y21" s="8">
        <v>61.91</v>
      </c>
      <c r="Z21" s="8">
        <f t="shared" si="12"/>
        <v>0.16961643835616438</v>
      </c>
      <c r="AA21" s="63">
        <f t="shared" si="13"/>
        <v>5.1591666666666667</v>
      </c>
      <c r="AB21" s="65">
        <f t="shared" si="14"/>
        <v>0.16961643835616438</v>
      </c>
      <c r="AC21" s="62">
        <v>0</v>
      </c>
      <c r="AD21" s="8">
        <f t="shared" si="15"/>
        <v>0</v>
      </c>
      <c r="AE21" s="8">
        <f t="shared" si="16"/>
        <v>0</v>
      </c>
      <c r="AF21" s="8">
        <v>0</v>
      </c>
      <c r="AG21" s="8">
        <f t="shared" si="17"/>
        <v>0</v>
      </c>
      <c r="AH21" s="63">
        <f t="shared" si="18"/>
        <v>0</v>
      </c>
      <c r="AI21" s="64">
        <f t="shared" si="19"/>
        <v>0</v>
      </c>
      <c r="AJ21" s="62">
        <v>0</v>
      </c>
      <c r="AK21" s="8">
        <f t="shared" si="20"/>
        <v>0</v>
      </c>
      <c r="AL21" s="8">
        <f t="shared" si="21"/>
        <v>0</v>
      </c>
      <c r="AM21" s="8">
        <v>0</v>
      </c>
      <c r="AN21" s="8">
        <f t="shared" si="22"/>
        <v>0</v>
      </c>
      <c r="AO21" s="63">
        <f t="shared" si="23"/>
        <v>0</v>
      </c>
      <c r="AP21" s="64">
        <f t="shared" si="24"/>
        <v>0</v>
      </c>
      <c r="AQ21" s="66">
        <v>0</v>
      </c>
      <c r="AR21" s="37">
        <f t="shared" si="25"/>
        <v>0</v>
      </c>
      <c r="AS21" s="37">
        <f t="shared" si="26"/>
        <v>0</v>
      </c>
      <c r="AT21" s="37">
        <v>0</v>
      </c>
      <c r="AU21" s="37">
        <f t="shared" si="27"/>
        <v>0</v>
      </c>
      <c r="AV21" s="67">
        <f t="shared" si="28"/>
        <v>0</v>
      </c>
      <c r="AW21" s="64">
        <f t="shared" si="29"/>
        <v>0</v>
      </c>
      <c r="AX21" s="68">
        <v>20</v>
      </c>
      <c r="AY21" s="69">
        <v>7</v>
      </c>
      <c r="AZ21" s="6"/>
      <c r="BA21" s="6" t="s">
        <v>469</v>
      </c>
    </row>
    <row r="22" spans="1:53" ht="60">
      <c r="A22" s="96" t="s">
        <v>464</v>
      </c>
      <c r="B22" s="96" t="s">
        <v>532</v>
      </c>
      <c r="C22" s="96" t="s">
        <v>532</v>
      </c>
      <c r="D22" s="97" t="s">
        <v>533</v>
      </c>
      <c r="E22" s="97"/>
      <c r="F22" s="97" t="s">
        <v>514</v>
      </c>
      <c r="G22" s="98">
        <v>41803</v>
      </c>
      <c r="H22" s="99">
        <v>0</v>
      </c>
      <c r="I22" s="100">
        <f t="shared" si="0"/>
        <v>0</v>
      </c>
      <c r="J22" s="100">
        <f t="shared" si="1"/>
        <v>0</v>
      </c>
      <c r="K22" s="100">
        <v>0</v>
      </c>
      <c r="L22" s="100">
        <f t="shared" si="2"/>
        <v>0</v>
      </c>
      <c r="M22" s="101">
        <f t="shared" si="3"/>
        <v>0</v>
      </c>
      <c r="N22" s="64">
        <f t="shared" si="4"/>
        <v>0</v>
      </c>
      <c r="O22" s="62">
        <v>0</v>
      </c>
      <c r="P22" s="8">
        <f t="shared" si="5"/>
        <v>0</v>
      </c>
      <c r="Q22" s="8">
        <f t="shared" si="6"/>
        <v>0</v>
      </c>
      <c r="R22" s="8">
        <v>0</v>
      </c>
      <c r="S22" s="8">
        <f t="shared" si="7"/>
        <v>0</v>
      </c>
      <c r="T22" s="63">
        <f t="shared" si="8"/>
        <v>0</v>
      </c>
      <c r="U22" s="65">
        <f t="shared" si="9"/>
        <v>0</v>
      </c>
      <c r="V22" s="62">
        <v>0</v>
      </c>
      <c r="W22" s="8">
        <f t="shared" si="10"/>
        <v>0</v>
      </c>
      <c r="X22" s="8">
        <f t="shared" si="11"/>
        <v>0</v>
      </c>
      <c r="Y22" s="8">
        <v>0</v>
      </c>
      <c r="Z22" s="8">
        <f t="shared" si="12"/>
        <v>0</v>
      </c>
      <c r="AA22" s="63">
        <f t="shared" si="13"/>
        <v>0</v>
      </c>
      <c r="AB22" s="65">
        <f t="shared" si="14"/>
        <v>0</v>
      </c>
      <c r="AC22" s="62">
        <v>0</v>
      </c>
      <c r="AD22" s="8">
        <f t="shared" si="15"/>
        <v>0</v>
      </c>
      <c r="AE22" s="8">
        <f t="shared" si="16"/>
        <v>0</v>
      </c>
      <c r="AF22" s="8">
        <v>0</v>
      </c>
      <c r="AG22" s="8">
        <f t="shared" si="17"/>
        <v>0</v>
      </c>
      <c r="AH22" s="63">
        <f t="shared" si="18"/>
        <v>0</v>
      </c>
      <c r="AI22" s="64">
        <f t="shared" si="19"/>
        <v>0</v>
      </c>
      <c r="AJ22" s="62">
        <v>0</v>
      </c>
      <c r="AK22" s="8">
        <f t="shared" si="20"/>
        <v>0</v>
      </c>
      <c r="AL22" s="8">
        <f t="shared" si="21"/>
        <v>0</v>
      </c>
      <c r="AM22" s="8">
        <v>0</v>
      </c>
      <c r="AN22" s="8">
        <f t="shared" si="22"/>
        <v>0</v>
      </c>
      <c r="AO22" s="63">
        <f t="shared" si="23"/>
        <v>0</v>
      </c>
      <c r="AP22" s="64">
        <f t="shared" si="24"/>
        <v>0</v>
      </c>
      <c r="AQ22" s="99">
        <v>0</v>
      </c>
      <c r="AR22" s="100">
        <f t="shared" si="25"/>
        <v>0</v>
      </c>
      <c r="AS22" s="100">
        <f t="shared" si="26"/>
        <v>0</v>
      </c>
      <c r="AT22" s="100">
        <v>0</v>
      </c>
      <c r="AU22" s="100">
        <f t="shared" si="27"/>
        <v>0</v>
      </c>
      <c r="AV22" s="101">
        <f t="shared" si="28"/>
        <v>0</v>
      </c>
      <c r="AW22" s="64">
        <f t="shared" si="29"/>
        <v>0</v>
      </c>
      <c r="AX22" s="102" t="s">
        <v>534</v>
      </c>
      <c r="AY22" s="103" t="s">
        <v>535</v>
      </c>
      <c r="AZ22" s="97" t="s">
        <v>536</v>
      </c>
      <c r="BA22" s="97" t="s">
        <v>469</v>
      </c>
    </row>
    <row r="23" spans="1:53">
      <c r="A23" s="7" t="s">
        <v>464</v>
      </c>
      <c r="B23" s="7" t="s">
        <v>537</v>
      </c>
      <c r="C23" s="7" t="s">
        <v>537</v>
      </c>
      <c r="D23" s="60" t="s">
        <v>538</v>
      </c>
      <c r="E23" s="6" t="s">
        <v>15</v>
      </c>
      <c r="F23" s="6" t="s">
        <v>477</v>
      </c>
      <c r="G23" s="78">
        <v>41806</v>
      </c>
      <c r="H23" s="62">
        <v>36.29</v>
      </c>
      <c r="I23" s="8">
        <f t="shared" si="0"/>
        <v>9.9424657534246577E-2</v>
      </c>
      <c r="J23" s="8">
        <f t="shared" si="1"/>
        <v>3.0241666666666664</v>
      </c>
      <c r="K23" s="8">
        <v>36.29</v>
      </c>
      <c r="L23" s="8">
        <f t="shared" si="2"/>
        <v>9.9424657534246577E-2</v>
      </c>
      <c r="M23" s="63">
        <f t="shared" si="3"/>
        <v>3.0241666666666664</v>
      </c>
      <c r="N23" s="64">
        <f t="shared" si="4"/>
        <v>0</v>
      </c>
      <c r="O23" s="62">
        <v>0</v>
      </c>
      <c r="P23" s="8">
        <f t="shared" si="5"/>
        <v>0</v>
      </c>
      <c r="Q23" s="8">
        <f t="shared" si="6"/>
        <v>0</v>
      </c>
      <c r="R23" s="8">
        <v>0</v>
      </c>
      <c r="S23" s="8">
        <f t="shared" si="7"/>
        <v>0</v>
      </c>
      <c r="T23" s="63">
        <f t="shared" si="8"/>
        <v>0</v>
      </c>
      <c r="U23" s="65">
        <f t="shared" si="9"/>
        <v>0</v>
      </c>
      <c r="V23" s="62">
        <v>36.29</v>
      </c>
      <c r="W23" s="8">
        <f t="shared" si="10"/>
        <v>9.9424657534246577E-2</v>
      </c>
      <c r="X23" s="8">
        <f t="shared" si="11"/>
        <v>3.0241666666666664</v>
      </c>
      <c r="Y23" s="8">
        <v>36.29</v>
      </c>
      <c r="Z23" s="8">
        <f t="shared" si="12"/>
        <v>9.9424657534246577E-2</v>
      </c>
      <c r="AA23" s="63">
        <f t="shared" si="13"/>
        <v>3.0241666666666664</v>
      </c>
      <c r="AB23" s="65">
        <f t="shared" si="14"/>
        <v>0</v>
      </c>
      <c r="AC23" s="62">
        <v>0</v>
      </c>
      <c r="AD23" s="8">
        <f t="shared" si="15"/>
        <v>0</v>
      </c>
      <c r="AE23" s="8">
        <f t="shared" si="16"/>
        <v>0</v>
      </c>
      <c r="AF23" s="8">
        <v>0</v>
      </c>
      <c r="AG23" s="8">
        <f t="shared" si="17"/>
        <v>0</v>
      </c>
      <c r="AH23" s="63">
        <f t="shared" si="18"/>
        <v>0</v>
      </c>
      <c r="AI23" s="64">
        <f t="shared" si="19"/>
        <v>0</v>
      </c>
      <c r="AJ23" s="62">
        <v>0</v>
      </c>
      <c r="AK23" s="8">
        <f t="shared" si="20"/>
        <v>0</v>
      </c>
      <c r="AL23" s="8">
        <f t="shared" si="21"/>
        <v>0</v>
      </c>
      <c r="AM23" s="8">
        <v>0</v>
      </c>
      <c r="AN23" s="8">
        <f t="shared" si="22"/>
        <v>0</v>
      </c>
      <c r="AO23" s="63">
        <f t="shared" si="23"/>
        <v>0</v>
      </c>
      <c r="AP23" s="64">
        <f t="shared" si="24"/>
        <v>0</v>
      </c>
      <c r="AQ23" s="66">
        <v>0</v>
      </c>
      <c r="AR23" s="37">
        <f t="shared" si="25"/>
        <v>0</v>
      </c>
      <c r="AS23" s="37">
        <f t="shared" si="26"/>
        <v>0</v>
      </c>
      <c r="AT23" s="37">
        <v>0</v>
      </c>
      <c r="AU23" s="37">
        <f t="shared" si="27"/>
        <v>0</v>
      </c>
      <c r="AV23" s="67">
        <f t="shared" si="28"/>
        <v>0</v>
      </c>
      <c r="AW23" s="64">
        <f t="shared" si="29"/>
        <v>0</v>
      </c>
      <c r="AX23" s="68">
        <v>20</v>
      </c>
      <c r="AY23" s="69">
        <v>20</v>
      </c>
      <c r="AZ23" s="6"/>
      <c r="BA23" s="6" t="s">
        <v>469</v>
      </c>
    </row>
    <row r="24" spans="1:53" ht="30">
      <c r="A24" s="7" t="s">
        <v>464</v>
      </c>
      <c r="B24" s="7" t="s">
        <v>539</v>
      </c>
      <c r="C24" s="7" t="s">
        <v>539</v>
      </c>
      <c r="D24" s="6" t="s">
        <v>540</v>
      </c>
      <c r="E24" s="6" t="s">
        <v>541</v>
      </c>
      <c r="F24" s="6" t="s">
        <v>514</v>
      </c>
      <c r="G24" s="71">
        <v>41822</v>
      </c>
      <c r="H24" s="62">
        <v>27.24</v>
      </c>
      <c r="I24" s="8">
        <f t="shared" si="0"/>
        <v>7.463013698630136E-2</v>
      </c>
      <c r="J24" s="8">
        <f t="shared" si="1"/>
        <v>2.27</v>
      </c>
      <c r="K24" s="8">
        <v>27.24</v>
      </c>
      <c r="L24" s="8">
        <f t="shared" si="2"/>
        <v>7.463013698630136E-2</v>
      </c>
      <c r="M24" s="63">
        <f t="shared" si="3"/>
        <v>2.27</v>
      </c>
      <c r="N24" s="64">
        <f t="shared" si="4"/>
        <v>0</v>
      </c>
      <c r="O24" s="62">
        <v>0</v>
      </c>
      <c r="P24" s="8">
        <f t="shared" si="5"/>
        <v>0</v>
      </c>
      <c r="Q24" s="8">
        <f t="shared" si="6"/>
        <v>0</v>
      </c>
      <c r="R24" s="8">
        <v>0</v>
      </c>
      <c r="S24" s="8">
        <f t="shared" si="7"/>
        <v>0</v>
      </c>
      <c r="T24" s="63">
        <f t="shared" si="8"/>
        <v>0</v>
      </c>
      <c r="U24" s="65">
        <f t="shared" si="9"/>
        <v>0</v>
      </c>
      <c r="V24" s="62">
        <v>27.24</v>
      </c>
      <c r="W24" s="8">
        <f t="shared" si="10"/>
        <v>7.463013698630136E-2</v>
      </c>
      <c r="X24" s="8">
        <f t="shared" si="11"/>
        <v>2.27</v>
      </c>
      <c r="Y24" s="8">
        <v>27.24</v>
      </c>
      <c r="Z24" s="8">
        <f t="shared" si="12"/>
        <v>7.463013698630136E-2</v>
      </c>
      <c r="AA24" s="63">
        <f t="shared" si="13"/>
        <v>2.27</v>
      </c>
      <c r="AB24" s="65">
        <f t="shared" si="14"/>
        <v>0</v>
      </c>
      <c r="AC24" s="62">
        <v>0</v>
      </c>
      <c r="AD24" s="8">
        <f t="shared" si="15"/>
        <v>0</v>
      </c>
      <c r="AE24" s="8">
        <f t="shared" si="16"/>
        <v>0</v>
      </c>
      <c r="AF24" s="8">
        <v>0</v>
      </c>
      <c r="AG24" s="8">
        <f t="shared" si="17"/>
        <v>0</v>
      </c>
      <c r="AH24" s="63">
        <f t="shared" si="18"/>
        <v>0</v>
      </c>
      <c r="AI24" s="64">
        <f t="shared" si="19"/>
        <v>0</v>
      </c>
      <c r="AJ24" s="62">
        <v>0</v>
      </c>
      <c r="AK24" s="8">
        <f t="shared" si="20"/>
        <v>0</v>
      </c>
      <c r="AL24" s="8">
        <f t="shared" si="21"/>
        <v>0</v>
      </c>
      <c r="AM24" s="8">
        <v>0</v>
      </c>
      <c r="AN24" s="8">
        <f t="shared" si="22"/>
        <v>0</v>
      </c>
      <c r="AO24" s="63">
        <f t="shared" si="23"/>
        <v>0</v>
      </c>
      <c r="AP24" s="64">
        <f t="shared" si="24"/>
        <v>0</v>
      </c>
      <c r="AQ24" s="66">
        <v>95.86</v>
      </c>
      <c r="AR24" s="37">
        <f t="shared" si="25"/>
        <v>0.26263013698630139</v>
      </c>
      <c r="AS24" s="37">
        <f t="shared" si="26"/>
        <v>7.9883333333333333</v>
      </c>
      <c r="AT24" s="37">
        <v>95.86</v>
      </c>
      <c r="AU24" s="37">
        <f t="shared" si="27"/>
        <v>0.26263013698630139</v>
      </c>
      <c r="AV24" s="67">
        <f t="shared" si="28"/>
        <v>7.9883333333333333</v>
      </c>
      <c r="AW24" s="64">
        <f t="shared" si="29"/>
        <v>0</v>
      </c>
      <c r="AX24" s="68" t="s">
        <v>515</v>
      </c>
      <c r="AY24" s="69">
        <v>19</v>
      </c>
      <c r="AZ24" s="6" t="s">
        <v>542</v>
      </c>
      <c r="BA24" s="6" t="s">
        <v>469</v>
      </c>
    </row>
    <row r="25" spans="1:53" ht="75">
      <c r="A25" s="96" t="s">
        <v>464</v>
      </c>
      <c r="B25" s="96" t="s">
        <v>543</v>
      </c>
      <c r="C25" s="96" t="s">
        <v>543</v>
      </c>
      <c r="D25" s="96" t="s">
        <v>533</v>
      </c>
      <c r="E25" s="96" t="s">
        <v>155</v>
      </c>
      <c r="F25" s="96" t="s">
        <v>514</v>
      </c>
      <c r="G25" s="98">
        <v>41829</v>
      </c>
      <c r="H25" s="104">
        <v>0</v>
      </c>
      <c r="I25" s="96">
        <f t="shared" si="0"/>
        <v>0</v>
      </c>
      <c r="J25" s="96">
        <f t="shared" si="1"/>
        <v>0</v>
      </c>
      <c r="K25" s="96">
        <v>0</v>
      </c>
      <c r="L25" s="96">
        <f t="shared" si="2"/>
        <v>0</v>
      </c>
      <c r="M25" s="105">
        <f t="shared" si="3"/>
        <v>0</v>
      </c>
      <c r="N25" s="64">
        <f t="shared" si="4"/>
        <v>0</v>
      </c>
      <c r="O25" s="62">
        <v>0</v>
      </c>
      <c r="P25" s="8">
        <f t="shared" si="5"/>
        <v>0</v>
      </c>
      <c r="Q25" s="8">
        <f t="shared" si="6"/>
        <v>0</v>
      </c>
      <c r="R25" s="8">
        <v>0</v>
      </c>
      <c r="S25" s="8">
        <f t="shared" si="7"/>
        <v>0</v>
      </c>
      <c r="T25" s="63">
        <f t="shared" si="8"/>
        <v>0</v>
      </c>
      <c r="U25" s="65">
        <f t="shared" si="9"/>
        <v>0</v>
      </c>
      <c r="V25" s="62">
        <v>0</v>
      </c>
      <c r="W25" s="8">
        <f t="shared" si="10"/>
        <v>0</v>
      </c>
      <c r="X25" s="8">
        <f t="shared" si="11"/>
        <v>0</v>
      </c>
      <c r="Y25" s="8">
        <v>0</v>
      </c>
      <c r="Z25" s="8">
        <f t="shared" si="12"/>
        <v>0</v>
      </c>
      <c r="AA25" s="63">
        <f t="shared" si="13"/>
        <v>0</v>
      </c>
      <c r="AB25" s="65">
        <f t="shared" si="14"/>
        <v>0</v>
      </c>
      <c r="AC25" s="62">
        <v>0</v>
      </c>
      <c r="AD25" s="8">
        <f t="shared" si="15"/>
        <v>0</v>
      </c>
      <c r="AE25" s="8">
        <f t="shared" si="16"/>
        <v>0</v>
      </c>
      <c r="AF25" s="8">
        <v>0</v>
      </c>
      <c r="AG25" s="8">
        <f t="shared" si="17"/>
        <v>0</v>
      </c>
      <c r="AH25" s="63">
        <f t="shared" si="18"/>
        <v>0</v>
      </c>
      <c r="AI25" s="64">
        <f t="shared" si="19"/>
        <v>0</v>
      </c>
      <c r="AJ25" s="62">
        <v>0</v>
      </c>
      <c r="AK25" s="8">
        <f t="shared" si="20"/>
        <v>0</v>
      </c>
      <c r="AL25" s="8">
        <f t="shared" si="21"/>
        <v>0</v>
      </c>
      <c r="AM25" s="8">
        <v>0</v>
      </c>
      <c r="AN25" s="8">
        <f t="shared" si="22"/>
        <v>0</v>
      </c>
      <c r="AO25" s="63">
        <f t="shared" si="23"/>
        <v>0</v>
      </c>
      <c r="AP25" s="64">
        <f t="shared" si="24"/>
        <v>0</v>
      </c>
      <c r="AQ25" s="104">
        <v>0</v>
      </c>
      <c r="AR25" s="96">
        <f t="shared" si="25"/>
        <v>0</v>
      </c>
      <c r="AS25" s="96">
        <f t="shared" si="26"/>
        <v>0</v>
      </c>
      <c r="AT25" s="96">
        <v>0.53</v>
      </c>
      <c r="AU25" s="106">
        <f t="shared" si="27"/>
        <v>1.452054794520548E-3</v>
      </c>
      <c r="AV25" s="107">
        <f t="shared" si="28"/>
        <v>4.4166666666666667E-2</v>
      </c>
      <c r="AW25" s="64">
        <f t="shared" si="29"/>
        <v>1.452054794520548E-3</v>
      </c>
      <c r="AX25" s="108">
        <v>20</v>
      </c>
      <c r="AY25" s="103">
        <v>10</v>
      </c>
      <c r="AZ25" s="87" t="s">
        <v>544</v>
      </c>
      <c r="BA25" s="97" t="s">
        <v>469</v>
      </c>
    </row>
    <row r="26" spans="1:53" ht="105">
      <c r="A26" s="7" t="s">
        <v>464</v>
      </c>
      <c r="B26" s="7" t="s">
        <v>545</v>
      </c>
      <c r="C26" s="7" t="s">
        <v>545</v>
      </c>
      <c r="D26" s="6" t="s">
        <v>546</v>
      </c>
      <c r="E26" s="6" t="s">
        <v>547</v>
      </c>
      <c r="F26" s="6" t="s">
        <v>548</v>
      </c>
      <c r="G26" s="71">
        <v>41829</v>
      </c>
      <c r="H26" s="62">
        <v>0.59</v>
      </c>
      <c r="I26" s="8">
        <f t="shared" si="0"/>
        <v>1.6164383561643836E-3</v>
      </c>
      <c r="J26" s="8">
        <f t="shared" si="1"/>
        <v>4.9166666666666664E-2</v>
      </c>
      <c r="K26" s="8">
        <v>0.59</v>
      </c>
      <c r="L26" s="8">
        <f t="shared" si="2"/>
        <v>1.6164383561643836E-3</v>
      </c>
      <c r="M26" s="63">
        <f t="shared" si="3"/>
        <v>4.9166666666666664E-2</v>
      </c>
      <c r="N26" s="64">
        <f t="shared" si="4"/>
        <v>0</v>
      </c>
      <c r="O26" s="62">
        <v>0.59</v>
      </c>
      <c r="P26" s="8">
        <f t="shared" si="5"/>
        <v>1.6164383561643836E-3</v>
      </c>
      <c r="Q26" s="8">
        <f t="shared" si="6"/>
        <v>4.9166666666666664E-2</v>
      </c>
      <c r="R26" s="8">
        <v>0.59</v>
      </c>
      <c r="S26" s="8">
        <f t="shared" si="7"/>
        <v>1.6164383561643836E-3</v>
      </c>
      <c r="T26" s="63">
        <f t="shared" si="8"/>
        <v>4.9166666666666664E-2</v>
      </c>
      <c r="U26" s="65">
        <f t="shared" si="9"/>
        <v>0</v>
      </c>
      <c r="V26" s="62">
        <v>0</v>
      </c>
      <c r="W26" s="8">
        <f t="shared" si="10"/>
        <v>0</v>
      </c>
      <c r="X26" s="8">
        <f t="shared" si="11"/>
        <v>0</v>
      </c>
      <c r="Y26" s="8">
        <v>0</v>
      </c>
      <c r="Z26" s="8">
        <f t="shared" si="12"/>
        <v>0</v>
      </c>
      <c r="AA26" s="63">
        <f t="shared" si="13"/>
        <v>0</v>
      </c>
      <c r="AB26" s="65">
        <f t="shared" si="14"/>
        <v>0</v>
      </c>
      <c r="AC26" s="62">
        <v>0</v>
      </c>
      <c r="AD26" s="8">
        <f t="shared" si="15"/>
        <v>0</v>
      </c>
      <c r="AE26" s="8">
        <f t="shared" si="16"/>
        <v>0</v>
      </c>
      <c r="AF26" s="8">
        <v>0</v>
      </c>
      <c r="AG26" s="8">
        <f t="shared" si="17"/>
        <v>0</v>
      </c>
      <c r="AH26" s="63">
        <f t="shared" si="18"/>
        <v>0</v>
      </c>
      <c r="AI26" s="64">
        <f t="shared" si="19"/>
        <v>0</v>
      </c>
      <c r="AJ26" s="62">
        <v>0</v>
      </c>
      <c r="AK26" s="8">
        <f t="shared" si="20"/>
        <v>0</v>
      </c>
      <c r="AL26" s="8">
        <f t="shared" si="21"/>
        <v>0</v>
      </c>
      <c r="AM26" s="8">
        <v>0</v>
      </c>
      <c r="AN26" s="8">
        <f t="shared" si="22"/>
        <v>0</v>
      </c>
      <c r="AO26" s="63">
        <f t="shared" si="23"/>
        <v>0</v>
      </c>
      <c r="AP26" s="64">
        <f t="shared" si="24"/>
        <v>0</v>
      </c>
      <c r="AQ26" s="66">
        <f>2737.5-2730.2</f>
        <v>7.3000000000001819</v>
      </c>
      <c r="AR26" s="37">
        <f t="shared" si="25"/>
        <v>2.00000000000005E-2</v>
      </c>
      <c r="AS26" s="37">
        <f t="shared" si="26"/>
        <v>0.60833333333334849</v>
      </c>
      <c r="AT26" s="37">
        <f>2737.5-2730.2</f>
        <v>7.3000000000001819</v>
      </c>
      <c r="AU26" s="37">
        <f t="shared" si="27"/>
        <v>2.00000000000005E-2</v>
      </c>
      <c r="AV26" s="67">
        <f t="shared" si="28"/>
        <v>0.60833333333334849</v>
      </c>
      <c r="AW26" s="64">
        <f t="shared" si="29"/>
        <v>0</v>
      </c>
      <c r="AX26" s="68">
        <v>5</v>
      </c>
      <c r="AY26" s="69">
        <v>5</v>
      </c>
      <c r="AZ26" s="6" t="s">
        <v>549</v>
      </c>
      <c r="BA26" s="6" t="s">
        <v>469</v>
      </c>
    </row>
    <row r="27" spans="1:53" ht="34.5" customHeight="1">
      <c r="A27" s="88" t="s">
        <v>464</v>
      </c>
      <c r="B27" s="88" t="s">
        <v>550</v>
      </c>
      <c r="C27" s="88" t="s">
        <v>550</v>
      </c>
      <c r="D27" s="89" t="s">
        <v>551</v>
      </c>
      <c r="E27" s="89" t="s">
        <v>15</v>
      </c>
      <c r="F27" s="89" t="s">
        <v>467</v>
      </c>
      <c r="G27" s="90">
        <v>41842</v>
      </c>
      <c r="H27" s="91">
        <v>11.627000000000001</v>
      </c>
      <c r="I27" s="92">
        <f t="shared" si="0"/>
        <v>3.1854794520547944E-2</v>
      </c>
      <c r="J27" s="92">
        <f t="shared" si="1"/>
        <v>0.96891666666666676</v>
      </c>
      <c r="K27" s="92">
        <v>11.627000000000001</v>
      </c>
      <c r="L27" s="92">
        <f t="shared" si="2"/>
        <v>3.1854794520547944E-2</v>
      </c>
      <c r="M27" s="93">
        <f t="shared" si="3"/>
        <v>0.96891666666666676</v>
      </c>
      <c r="N27" s="64">
        <f t="shared" si="4"/>
        <v>0</v>
      </c>
      <c r="O27" s="62">
        <v>0</v>
      </c>
      <c r="P27" s="8">
        <f t="shared" si="5"/>
        <v>0</v>
      </c>
      <c r="Q27" s="8">
        <f t="shared" si="6"/>
        <v>0</v>
      </c>
      <c r="R27" s="8">
        <v>0</v>
      </c>
      <c r="S27" s="8">
        <f t="shared" si="7"/>
        <v>0</v>
      </c>
      <c r="T27" s="63">
        <f t="shared" si="8"/>
        <v>0</v>
      </c>
      <c r="U27" s="65">
        <f t="shared" si="9"/>
        <v>0</v>
      </c>
      <c r="V27" s="62">
        <v>11.627000000000001</v>
      </c>
      <c r="W27" s="8">
        <f t="shared" si="10"/>
        <v>3.1854794520547944E-2</v>
      </c>
      <c r="X27" s="8">
        <f t="shared" si="11"/>
        <v>0.96891666666666676</v>
      </c>
      <c r="Y27" s="8">
        <v>11.627000000000001</v>
      </c>
      <c r="Z27" s="8">
        <f t="shared" si="12"/>
        <v>3.1854794520547944E-2</v>
      </c>
      <c r="AA27" s="63">
        <f t="shared" si="13"/>
        <v>0.96891666666666676</v>
      </c>
      <c r="AB27" s="65">
        <f t="shared" si="14"/>
        <v>0</v>
      </c>
      <c r="AC27" s="62">
        <v>0</v>
      </c>
      <c r="AD27" s="8">
        <f t="shared" si="15"/>
        <v>0</v>
      </c>
      <c r="AE27" s="8">
        <f t="shared" si="16"/>
        <v>0</v>
      </c>
      <c r="AF27" s="8">
        <v>0</v>
      </c>
      <c r="AG27" s="8">
        <f t="shared" si="17"/>
        <v>0</v>
      </c>
      <c r="AH27" s="63">
        <f t="shared" si="18"/>
        <v>0</v>
      </c>
      <c r="AI27" s="64">
        <f t="shared" si="19"/>
        <v>0</v>
      </c>
      <c r="AJ27" s="62">
        <v>0</v>
      </c>
      <c r="AK27" s="8">
        <f t="shared" si="20"/>
        <v>0</v>
      </c>
      <c r="AL27" s="8">
        <f t="shared" si="21"/>
        <v>0</v>
      </c>
      <c r="AM27" s="8">
        <v>0</v>
      </c>
      <c r="AN27" s="8">
        <f t="shared" si="22"/>
        <v>0</v>
      </c>
      <c r="AO27" s="63">
        <f t="shared" si="23"/>
        <v>0</v>
      </c>
      <c r="AP27" s="64">
        <f t="shared" si="24"/>
        <v>0</v>
      </c>
      <c r="AQ27" s="109">
        <v>0</v>
      </c>
      <c r="AR27" s="110">
        <f t="shared" si="25"/>
        <v>0</v>
      </c>
      <c r="AS27" s="110">
        <f t="shared" si="26"/>
        <v>0</v>
      </c>
      <c r="AT27" s="110">
        <v>0</v>
      </c>
      <c r="AU27" s="110">
        <f t="shared" si="27"/>
        <v>0</v>
      </c>
      <c r="AV27" s="111">
        <f t="shared" si="28"/>
        <v>0</v>
      </c>
      <c r="AW27" s="64">
        <f t="shared" si="29"/>
        <v>0</v>
      </c>
      <c r="AX27" s="94" t="s">
        <v>482</v>
      </c>
      <c r="AY27" s="95">
        <v>18</v>
      </c>
      <c r="AZ27" s="89" t="s">
        <v>552</v>
      </c>
      <c r="BA27" s="6" t="s">
        <v>469</v>
      </c>
    </row>
    <row r="28" spans="1:53" ht="120">
      <c r="A28" s="7" t="s">
        <v>464</v>
      </c>
      <c r="B28" s="7" t="s">
        <v>553</v>
      </c>
      <c r="C28" s="7" t="s">
        <v>553</v>
      </c>
      <c r="D28" s="6" t="s">
        <v>554</v>
      </c>
      <c r="E28" s="6" t="s">
        <v>15</v>
      </c>
      <c r="F28" s="6" t="s">
        <v>467</v>
      </c>
      <c r="G28" s="61">
        <v>41845</v>
      </c>
      <c r="H28" s="62">
        <v>0</v>
      </c>
      <c r="I28" s="8">
        <f t="shared" si="0"/>
        <v>0</v>
      </c>
      <c r="J28" s="8">
        <f t="shared" si="1"/>
        <v>0</v>
      </c>
      <c r="K28" s="8">
        <v>12</v>
      </c>
      <c r="L28" s="8">
        <f t="shared" si="2"/>
        <v>3.287671232876712E-2</v>
      </c>
      <c r="M28" s="63">
        <f t="shared" si="3"/>
        <v>1</v>
      </c>
      <c r="N28" s="64">
        <f t="shared" si="4"/>
        <v>3.287671232876712E-2</v>
      </c>
      <c r="O28" s="62">
        <v>0</v>
      </c>
      <c r="P28" s="8">
        <f t="shared" si="5"/>
        <v>0</v>
      </c>
      <c r="Q28" s="8">
        <f t="shared" si="6"/>
        <v>0</v>
      </c>
      <c r="R28" s="8">
        <v>0</v>
      </c>
      <c r="S28" s="8">
        <f t="shared" si="7"/>
        <v>0</v>
      </c>
      <c r="T28" s="63">
        <f t="shared" si="8"/>
        <v>0</v>
      </c>
      <c r="U28" s="65">
        <f t="shared" si="9"/>
        <v>0</v>
      </c>
      <c r="V28" s="62">
        <v>0</v>
      </c>
      <c r="W28" s="8">
        <f t="shared" si="10"/>
        <v>0</v>
      </c>
      <c r="X28" s="8">
        <f t="shared" si="11"/>
        <v>0</v>
      </c>
      <c r="Y28" s="8">
        <v>12</v>
      </c>
      <c r="Z28" s="8">
        <f t="shared" si="12"/>
        <v>3.287671232876712E-2</v>
      </c>
      <c r="AA28" s="63">
        <f t="shared" si="13"/>
        <v>1</v>
      </c>
      <c r="AB28" s="65">
        <f t="shared" si="14"/>
        <v>3.287671232876712E-2</v>
      </c>
      <c r="AC28" s="62">
        <v>0</v>
      </c>
      <c r="AD28" s="8">
        <f t="shared" si="15"/>
        <v>0</v>
      </c>
      <c r="AE28" s="8">
        <f t="shared" si="16"/>
        <v>0</v>
      </c>
      <c r="AF28" s="8">
        <v>0</v>
      </c>
      <c r="AG28" s="8">
        <f t="shared" si="17"/>
        <v>0</v>
      </c>
      <c r="AH28" s="63">
        <f t="shared" si="18"/>
        <v>0</v>
      </c>
      <c r="AI28" s="64">
        <f t="shared" si="19"/>
        <v>0</v>
      </c>
      <c r="AJ28" s="62">
        <v>0</v>
      </c>
      <c r="AK28" s="8">
        <f t="shared" si="20"/>
        <v>0</v>
      </c>
      <c r="AL28" s="8">
        <f t="shared" si="21"/>
        <v>0</v>
      </c>
      <c r="AM28" s="8">
        <v>0</v>
      </c>
      <c r="AN28" s="8">
        <f t="shared" si="22"/>
        <v>0</v>
      </c>
      <c r="AO28" s="63">
        <f t="shared" si="23"/>
        <v>0</v>
      </c>
      <c r="AP28" s="64">
        <f t="shared" si="24"/>
        <v>0</v>
      </c>
      <c r="AQ28" s="66">
        <v>0</v>
      </c>
      <c r="AR28" s="37">
        <f t="shared" si="25"/>
        <v>0</v>
      </c>
      <c r="AS28" s="37">
        <f t="shared" si="26"/>
        <v>0</v>
      </c>
      <c r="AT28" s="37">
        <v>0</v>
      </c>
      <c r="AU28" s="37">
        <f t="shared" si="27"/>
        <v>0</v>
      </c>
      <c r="AV28" s="67">
        <f t="shared" si="28"/>
        <v>0</v>
      </c>
      <c r="AW28" s="64">
        <f t="shared" si="29"/>
        <v>0</v>
      </c>
      <c r="AX28" s="68">
        <v>20</v>
      </c>
      <c r="AY28" s="69">
        <v>10</v>
      </c>
      <c r="AZ28" s="6" t="s">
        <v>555</v>
      </c>
      <c r="BA28" s="6" t="s">
        <v>469</v>
      </c>
    </row>
    <row r="29" spans="1:53">
      <c r="A29" s="7" t="s">
        <v>464</v>
      </c>
      <c r="B29" s="7" t="s">
        <v>556</v>
      </c>
      <c r="C29" s="7" t="s">
        <v>556</v>
      </c>
      <c r="D29" s="6" t="s">
        <v>557</v>
      </c>
      <c r="E29" s="6" t="s">
        <v>15</v>
      </c>
      <c r="F29" s="6" t="s">
        <v>467</v>
      </c>
      <c r="G29" s="71">
        <v>41849</v>
      </c>
      <c r="H29" s="62">
        <v>68.540000000000006</v>
      </c>
      <c r="I29" s="8">
        <f t="shared" si="0"/>
        <v>0.18778082191780823</v>
      </c>
      <c r="J29" s="8">
        <f t="shared" si="1"/>
        <v>5.7116666666666669</v>
      </c>
      <c r="K29" s="8">
        <v>68.540000000000006</v>
      </c>
      <c r="L29" s="8">
        <f t="shared" si="2"/>
        <v>0.18778082191780823</v>
      </c>
      <c r="M29" s="63">
        <f t="shared" si="3"/>
        <v>5.7116666666666669</v>
      </c>
      <c r="N29" s="64">
        <f t="shared" si="4"/>
        <v>0</v>
      </c>
      <c r="O29" s="62">
        <v>0</v>
      </c>
      <c r="P29" s="8">
        <f t="shared" si="5"/>
        <v>0</v>
      </c>
      <c r="Q29" s="8">
        <f t="shared" si="6"/>
        <v>0</v>
      </c>
      <c r="R29" s="8">
        <v>0</v>
      </c>
      <c r="S29" s="8">
        <f t="shared" si="7"/>
        <v>0</v>
      </c>
      <c r="T29" s="63">
        <f t="shared" si="8"/>
        <v>0</v>
      </c>
      <c r="U29" s="65">
        <f t="shared" si="9"/>
        <v>0</v>
      </c>
      <c r="V29" s="62">
        <v>68.540000000000006</v>
      </c>
      <c r="W29" s="8">
        <f t="shared" si="10"/>
        <v>0.18778082191780823</v>
      </c>
      <c r="X29" s="8">
        <f t="shared" si="11"/>
        <v>5.7116666666666669</v>
      </c>
      <c r="Y29" s="8">
        <v>68.540000000000006</v>
      </c>
      <c r="Z29" s="8">
        <f t="shared" si="12"/>
        <v>0.18778082191780823</v>
      </c>
      <c r="AA29" s="63">
        <f t="shared" si="13"/>
        <v>5.7116666666666669</v>
      </c>
      <c r="AB29" s="65">
        <f t="shared" si="14"/>
        <v>0</v>
      </c>
      <c r="AC29" s="62">
        <v>0</v>
      </c>
      <c r="AD29" s="8">
        <f t="shared" si="15"/>
        <v>0</v>
      </c>
      <c r="AE29" s="8">
        <f t="shared" si="16"/>
        <v>0</v>
      </c>
      <c r="AF29" s="8">
        <v>0</v>
      </c>
      <c r="AG29" s="8">
        <f t="shared" si="17"/>
        <v>0</v>
      </c>
      <c r="AH29" s="63">
        <f t="shared" si="18"/>
        <v>0</v>
      </c>
      <c r="AI29" s="64">
        <f t="shared" si="19"/>
        <v>0</v>
      </c>
      <c r="AJ29" s="62">
        <v>0</v>
      </c>
      <c r="AK29" s="8">
        <f t="shared" si="20"/>
        <v>0</v>
      </c>
      <c r="AL29" s="8">
        <f t="shared" si="21"/>
        <v>0</v>
      </c>
      <c r="AM29" s="8">
        <v>0</v>
      </c>
      <c r="AN29" s="8">
        <f t="shared" si="22"/>
        <v>0</v>
      </c>
      <c r="AO29" s="63">
        <f t="shared" si="23"/>
        <v>0</v>
      </c>
      <c r="AP29" s="64">
        <f t="shared" si="24"/>
        <v>0</v>
      </c>
      <c r="AQ29" s="66">
        <v>0</v>
      </c>
      <c r="AR29" s="37">
        <f t="shared" si="25"/>
        <v>0</v>
      </c>
      <c r="AS29" s="37">
        <f t="shared" si="26"/>
        <v>0</v>
      </c>
      <c r="AT29" s="37">
        <v>0</v>
      </c>
      <c r="AU29" s="37">
        <f t="shared" si="27"/>
        <v>0</v>
      </c>
      <c r="AV29" s="67">
        <f t="shared" si="28"/>
        <v>0</v>
      </c>
      <c r="AW29" s="64">
        <f t="shared" si="29"/>
        <v>0</v>
      </c>
      <c r="AX29" s="68" t="s">
        <v>482</v>
      </c>
      <c r="AY29" s="69">
        <v>19</v>
      </c>
      <c r="AZ29" s="6" t="s">
        <v>558</v>
      </c>
      <c r="BA29" s="6" t="s">
        <v>469</v>
      </c>
    </row>
    <row r="30" spans="1:53" ht="105">
      <c r="A30" s="7" t="s">
        <v>464</v>
      </c>
      <c r="B30" s="7" t="s">
        <v>559</v>
      </c>
      <c r="C30" s="7" t="s">
        <v>559</v>
      </c>
      <c r="D30" s="6" t="s">
        <v>560</v>
      </c>
      <c r="E30" s="6" t="s">
        <v>489</v>
      </c>
      <c r="F30" s="6" t="s">
        <v>467</v>
      </c>
      <c r="G30" s="71">
        <v>41862</v>
      </c>
      <c r="H30" s="62">
        <f>33.54/2</f>
        <v>16.77</v>
      </c>
      <c r="I30" s="8">
        <f t="shared" si="0"/>
        <v>4.594520547945205E-2</v>
      </c>
      <c r="J30" s="8">
        <f t="shared" si="1"/>
        <v>1.3975</v>
      </c>
      <c r="K30" s="8">
        <v>0</v>
      </c>
      <c r="L30" s="8">
        <f t="shared" si="2"/>
        <v>0</v>
      </c>
      <c r="M30" s="63">
        <f t="shared" si="3"/>
        <v>0</v>
      </c>
      <c r="N30" s="64">
        <f t="shared" si="4"/>
        <v>-4.594520547945205E-2</v>
      </c>
      <c r="O30" s="62">
        <v>0</v>
      </c>
      <c r="P30" s="8">
        <f t="shared" si="5"/>
        <v>0</v>
      </c>
      <c r="Q30" s="8">
        <f t="shared" si="6"/>
        <v>0</v>
      </c>
      <c r="R30" s="8">
        <v>0</v>
      </c>
      <c r="S30" s="8">
        <f t="shared" si="7"/>
        <v>0</v>
      </c>
      <c r="T30" s="63">
        <f t="shared" si="8"/>
        <v>0</v>
      </c>
      <c r="U30" s="65">
        <f t="shared" si="9"/>
        <v>0</v>
      </c>
      <c r="V30" s="62">
        <f>33.54/2</f>
        <v>16.77</v>
      </c>
      <c r="W30" s="8">
        <f t="shared" si="10"/>
        <v>4.594520547945205E-2</v>
      </c>
      <c r="X30" s="8">
        <f t="shared" si="11"/>
        <v>1.3975</v>
      </c>
      <c r="Y30" s="8">
        <v>0</v>
      </c>
      <c r="Z30" s="8">
        <f t="shared" si="12"/>
        <v>0</v>
      </c>
      <c r="AA30" s="63">
        <f t="shared" si="13"/>
        <v>0</v>
      </c>
      <c r="AB30" s="65">
        <f t="shared" si="14"/>
        <v>-4.594520547945205E-2</v>
      </c>
      <c r="AC30" s="62">
        <v>0</v>
      </c>
      <c r="AD30" s="8">
        <f t="shared" si="15"/>
        <v>0</v>
      </c>
      <c r="AE30" s="8">
        <f t="shared" si="16"/>
        <v>0</v>
      </c>
      <c r="AF30" s="8">
        <v>0</v>
      </c>
      <c r="AG30" s="8">
        <f t="shared" si="17"/>
        <v>0</v>
      </c>
      <c r="AH30" s="63">
        <f t="shared" si="18"/>
        <v>0</v>
      </c>
      <c r="AI30" s="64">
        <f t="shared" si="19"/>
        <v>0</v>
      </c>
      <c r="AJ30" s="62">
        <v>0</v>
      </c>
      <c r="AK30" s="8">
        <f t="shared" si="20"/>
        <v>0</v>
      </c>
      <c r="AL30" s="8">
        <f t="shared" si="21"/>
        <v>0</v>
      </c>
      <c r="AM30" s="8">
        <v>0</v>
      </c>
      <c r="AN30" s="8">
        <f t="shared" si="22"/>
        <v>0</v>
      </c>
      <c r="AO30" s="63">
        <f t="shared" si="23"/>
        <v>0</v>
      </c>
      <c r="AP30" s="64">
        <f t="shared" si="24"/>
        <v>0</v>
      </c>
      <c r="AQ30" s="66">
        <f>33.54/2</f>
        <v>16.77</v>
      </c>
      <c r="AR30" s="37">
        <f t="shared" si="25"/>
        <v>4.594520547945205E-2</v>
      </c>
      <c r="AS30" s="37">
        <f t="shared" si="26"/>
        <v>1.3975</v>
      </c>
      <c r="AT30" s="37">
        <v>0</v>
      </c>
      <c r="AU30" s="37">
        <f t="shared" si="27"/>
        <v>0</v>
      </c>
      <c r="AV30" s="67">
        <f t="shared" si="28"/>
        <v>0</v>
      </c>
      <c r="AW30" s="64">
        <f t="shared" si="29"/>
        <v>-4.594520547945205E-2</v>
      </c>
      <c r="AX30" s="68" t="s">
        <v>561</v>
      </c>
      <c r="AY30" s="69">
        <v>0</v>
      </c>
      <c r="AZ30" s="6" t="s">
        <v>562</v>
      </c>
      <c r="BA30" s="73" t="s">
        <v>563</v>
      </c>
    </row>
    <row r="31" spans="1:53">
      <c r="A31" s="7" t="s">
        <v>464</v>
      </c>
      <c r="B31" s="7" t="s">
        <v>564</v>
      </c>
      <c r="C31" s="7" t="s">
        <v>564</v>
      </c>
      <c r="D31" s="77" t="s">
        <v>565</v>
      </c>
      <c r="E31" s="6" t="s">
        <v>472</v>
      </c>
      <c r="F31" s="6" t="s">
        <v>477</v>
      </c>
      <c r="G31" s="71">
        <v>41864</v>
      </c>
      <c r="H31" s="62">
        <v>2078.67</v>
      </c>
      <c r="I31" s="8">
        <f t="shared" si="0"/>
        <v>5.6949863013698634</v>
      </c>
      <c r="J31" s="8">
        <f t="shared" si="1"/>
        <v>173.2225</v>
      </c>
      <c r="K31" s="8">
        <v>1940.34</v>
      </c>
      <c r="L31" s="8">
        <f t="shared" si="2"/>
        <v>5.3159999999999998</v>
      </c>
      <c r="M31" s="63">
        <f t="shared" si="3"/>
        <v>161.69499999999999</v>
      </c>
      <c r="N31" s="64">
        <f t="shared" si="4"/>
        <v>-0.37898630136986355</v>
      </c>
      <c r="O31" s="62">
        <v>0</v>
      </c>
      <c r="P31" s="8">
        <f t="shared" si="5"/>
        <v>0</v>
      </c>
      <c r="Q31" s="8">
        <f t="shared" si="6"/>
        <v>0</v>
      </c>
      <c r="R31" s="8">
        <v>0</v>
      </c>
      <c r="S31" s="8">
        <f t="shared" si="7"/>
        <v>0</v>
      </c>
      <c r="T31" s="63">
        <f t="shared" si="8"/>
        <v>0</v>
      </c>
      <c r="U31" s="65">
        <f t="shared" si="9"/>
        <v>0</v>
      </c>
      <c r="V31" s="62">
        <f>2078.67-244.059-308.887</f>
        <v>1525.7240000000002</v>
      </c>
      <c r="W31" s="8">
        <f t="shared" si="10"/>
        <v>4.1800657534246577</v>
      </c>
      <c r="X31" s="8">
        <f t="shared" si="11"/>
        <v>127.14366666666668</v>
      </c>
      <c r="Y31" s="8">
        <f>1941.31-227.796-288.335</f>
        <v>1425.1789999999999</v>
      </c>
      <c r="Z31" s="8">
        <f t="shared" si="12"/>
        <v>3.9045999999999994</v>
      </c>
      <c r="AA31" s="63">
        <f t="shared" si="13"/>
        <v>118.76491666666665</v>
      </c>
      <c r="AB31" s="65">
        <f t="shared" si="14"/>
        <v>-0.27546575342465829</v>
      </c>
      <c r="AC31" s="62">
        <f>308.887+244.059</f>
        <v>552.94600000000003</v>
      </c>
      <c r="AD31" s="8">
        <f t="shared" si="15"/>
        <v>1.5149205479452055</v>
      </c>
      <c r="AE31" s="8">
        <f t="shared" si="16"/>
        <v>46.078833333333336</v>
      </c>
      <c r="AF31" s="8">
        <v>515.16099999999994</v>
      </c>
      <c r="AG31" s="8">
        <f t="shared" si="17"/>
        <v>1.4113999999999998</v>
      </c>
      <c r="AH31" s="63">
        <f t="shared" si="18"/>
        <v>42.930083333333329</v>
      </c>
      <c r="AI31" s="64">
        <f t="shared" si="19"/>
        <v>-0.10352054794520571</v>
      </c>
      <c r="AJ31" s="62">
        <v>0</v>
      </c>
      <c r="AK31" s="8">
        <f t="shared" si="20"/>
        <v>0</v>
      </c>
      <c r="AL31" s="8">
        <f t="shared" si="21"/>
        <v>0</v>
      </c>
      <c r="AM31" s="8">
        <v>0</v>
      </c>
      <c r="AN31" s="8">
        <f t="shared" si="22"/>
        <v>0</v>
      </c>
      <c r="AO31" s="63">
        <f t="shared" si="23"/>
        <v>0</v>
      </c>
      <c r="AP31" s="64">
        <f t="shared" si="24"/>
        <v>0</v>
      </c>
      <c r="AQ31" s="66">
        <v>0</v>
      </c>
      <c r="AR31" s="37">
        <f t="shared" si="25"/>
        <v>0</v>
      </c>
      <c r="AS31" s="37">
        <f t="shared" si="26"/>
        <v>0</v>
      </c>
      <c r="AT31" s="37">
        <v>0</v>
      </c>
      <c r="AU31" s="37">
        <f t="shared" si="27"/>
        <v>0</v>
      </c>
      <c r="AV31" s="67">
        <f t="shared" si="28"/>
        <v>0</v>
      </c>
      <c r="AW31" s="64">
        <f t="shared" si="29"/>
        <v>0</v>
      </c>
      <c r="AX31" s="68">
        <v>10</v>
      </c>
      <c r="AY31" s="69">
        <v>10</v>
      </c>
      <c r="AZ31" s="6"/>
      <c r="BA31" s="6" t="s">
        <v>469</v>
      </c>
    </row>
    <row r="32" spans="1:53">
      <c r="A32" s="7" t="s">
        <v>464</v>
      </c>
      <c r="B32" s="7" t="s">
        <v>566</v>
      </c>
      <c r="C32" s="7" t="s">
        <v>566</v>
      </c>
      <c r="D32" s="7" t="s">
        <v>567</v>
      </c>
      <c r="E32" s="6" t="s">
        <v>15</v>
      </c>
      <c r="F32" s="6" t="s">
        <v>477</v>
      </c>
      <c r="G32" s="78">
        <v>41869</v>
      </c>
      <c r="H32" s="62">
        <v>33.47</v>
      </c>
      <c r="I32" s="8">
        <f t="shared" si="0"/>
        <v>9.16986301369863E-2</v>
      </c>
      <c r="J32" s="8">
        <f t="shared" si="1"/>
        <v>2.7891666666666666</v>
      </c>
      <c r="K32" s="8">
        <v>35.32</v>
      </c>
      <c r="L32" s="8">
        <f t="shared" si="2"/>
        <v>9.6767123287671231E-2</v>
      </c>
      <c r="M32" s="63">
        <f t="shared" si="3"/>
        <v>2.9433333333333334</v>
      </c>
      <c r="N32" s="64">
        <f t="shared" si="4"/>
        <v>5.0684931506849301E-3</v>
      </c>
      <c r="O32" s="62">
        <v>0</v>
      </c>
      <c r="P32" s="8">
        <f t="shared" si="5"/>
        <v>0</v>
      </c>
      <c r="Q32" s="8">
        <f t="shared" si="6"/>
        <v>0</v>
      </c>
      <c r="R32" s="8">
        <v>0</v>
      </c>
      <c r="S32" s="8">
        <f t="shared" si="7"/>
        <v>0</v>
      </c>
      <c r="T32" s="63">
        <f t="shared" si="8"/>
        <v>0</v>
      </c>
      <c r="U32" s="65">
        <f t="shared" si="9"/>
        <v>0</v>
      </c>
      <c r="V32" s="62">
        <v>33.47</v>
      </c>
      <c r="W32" s="8">
        <f t="shared" si="10"/>
        <v>9.16986301369863E-2</v>
      </c>
      <c r="X32" s="8">
        <f t="shared" si="11"/>
        <v>2.7891666666666666</v>
      </c>
      <c r="Y32" s="8">
        <v>35.32</v>
      </c>
      <c r="Z32" s="8">
        <f t="shared" si="12"/>
        <v>9.6767123287671231E-2</v>
      </c>
      <c r="AA32" s="63">
        <f t="shared" si="13"/>
        <v>2.9433333333333334</v>
      </c>
      <c r="AB32" s="65">
        <f t="shared" si="14"/>
        <v>5.0684931506849301E-3</v>
      </c>
      <c r="AC32" s="62">
        <v>0</v>
      </c>
      <c r="AD32" s="8">
        <f t="shared" si="15"/>
        <v>0</v>
      </c>
      <c r="AE32" s="8">
        <f t="shared" si="16"/>
        <v>0</v>
      </c>
      <c r="AF32" s="8">
        <v>0</v>
      </c>
      <c r="AG32" s="8">
        <f t="shared" si="17"/>
        <v>0</v>
      </c>
      <c r="AH32" s="63">
        <f t="shared" si="18"/>
        <v>0</v>
      </c>
      <c r="AI32" s="64">
        <f t="shared" si="19"/>
        <v>0</v>
      </c>
      <c r="AJ32" s="62">
        <v>0</v>
      </c>
      <c r="AK32" s="8">
        <f t="shared" si="20"/>
        <v>0</v>
      </c>
      <c r="AL32" s="8">
        <f t="shared" si="21"/>
        <v>0</v>
      </c>
      <c r="AM32" s="8">
        <v>0</v>
      </c>
      <c r="AN32" s="8">
        <f t="shared" si="22"/>
        <v>0</v>
      </c>
      <c r="AO32" s="63">
        <f t="shared" si="23"/>
        <v>0</v>
      </c>
      <c r="AP32" s="64">
        <f t="shared" si="24"/>
        <v>0</v>
      </c>
      <c r="AQ32" s="66">
        <v>0</v>
      </c>
      <c r="AR32" s="37">
        <f t="shared" si="25"/>
        <v>0</v>
      </c>
      <c r="AS32" s="37">
        <f t="shared" si="26"/>
        <v>0</v>
      </c>
      <c r="AT32" s="37">
        <v>0</v>
      </c>
      <c r="AU32" s="37">
        <f t="shared" si="27"/>
        <v>0</v>
      </c>
      <c r="AV32" s="67">
        <f t="shared" si="28"/>
        <v>0</v>
      </c>
      <c r="AW32" s="64">
        <f t="shared" si="29"/>
        <v>0</v>
      </c>
      <c r="AX32" s="68">
        <v>20</v>
      </c>
      <c r="AY32" s="69">
        <v>20</v>
      </c>
      <c r="AZ32" s="6"/>
      <c r="BA32" s="6" t="s">
        <v>469</v>
      </c>
    </row>
    <row r="33" spans="1:53">
      <c r="A33" s="7" t="s">
        <v>464</v>
      </c>
      <c r="B33" s="7" t="s">
        <v>568</v>
      </c>
      <c r="C33" s="7" t="s">
        <v>568</v>
      </c>
      <c r="D33" s="112" t="s">
        <v>569</v>
      </c>
      <c r="E33" s="6" t="s">
        <v>15</v>
      </c>
      <c r="F33" s="6" t="s">
        <v>477</v>
      </c>
      <c r="G33" s="71">
        <v>41886</v>
      </c>
      <c r="H33" s="62">
        <v>12.13</v>
      </c>
      <c r="I33" s="8">
        <f t="shared" si="0"/>
        <v>3.3232876712328767E-2</v>
      </c>
      <c r="J33" s="8">
        <f t="shared" si="1"/>
        <v>1.0108333333333335</v>
      </c>
      <c r="K33" s="8">
        <v>9.23</v>
      </c>
      <c r="L33" s="8">
        <f t="shared" si="2"/>
        <v>2.5287671232876712E-2</v>
      </c>
      <c r="M33" s="63">
        <f t="shared" si="3"/>
        <v>0.76916666666666667</v>
      </c>
      <c r="N33" s="64">
        <f t="shared" si="4"/>
        <v>-7.9452054794520548E-3</v>
      </c>
      <c r="O33" s="62">
        <v>0</v>
      </c>
      <c r="P33" s="8">
        <f t="shared" si="5"/>
        <v>0</v>
      </c>
      <c r="Q33" s="8">
        <f t="shared" si="6"/>
        <v>0</v>
      </c>
      <c r="R33" s="8">
        <v>0</v>
      </c>
      <c r="S33" s="8">
        <f t="shared" si="7"/>
        <v>0</v>
      </c>
      <c r="T33" s="63">
        <f t="shared" si="8"/>
        <v>0</v>
      </c>
      <c r="U33" s="65">
        <f t="shared" si="9"/>
        <v>0</v>
      </c>
      <c r="V33" s="62">
        <v>12.13</v>
      </c>
      <c r="W33" s="8">
        <f t="shared" si="10"/>
        <v>3.3232876712328767E-2</v>
      </c>
      <c r="X33" s="8">
        <f t="shared" si="11"/>
        <v>1.0108333333333335</v>
      </c>
      <c r="Y33" s="8">
        <v>9.23</v>
      </c>
      <c r="Z33" s="8">
        <f t="shared" si="12"/>
        <v>2.5287671232876712E-2</v>
      </c>
      <c r="AA33" s="63">
        <f t="shared" si="13"/>
        <v>0.76916666666666667</v>
      </c>
      <c r="AB33" s="65">
        <f t="shared" si="14"/>
        <v>-7.9452054794520548E-3</v>
      </c>
      <c r="AC33" s="62">
        <v>0</v>
      </c>
      <c r="AD33" s="8">
        <f t="shared" si="15"/>
        <v>0</v>
      </c>
      <c r="AE33" s="8">
        <f t="shared" si="16"/>
        <v>0</v>
      </c>
      <c r="AF33" s="8">
        <v>0</v>
      </c>
      <c r="AG33" s="8">
        <f t="shared" si="17"/>
        <v>0</v>
      </c>
      <c r="AH33" s="63">
        <f t="shared" si="18"/>
        <v>0</v>
      </c>
      <c r="AI33" s="64">
        <f t="shared" si="19"/>
        <v>0</v>
      </c>
      <c r="AJ33" s="62">
        <v>0</v>
      </c>
      <c r="AK33" s="8">
        <f t="shared" si="20"/>
        <v>0</v>
      </c>
      <c r="AL33" s="8">
        <f t="shared" si="21"/>
        <v>0</v>
      </c>
      <c r="AM33" s="8">
        <v>0</v>
      </c>
      <c r="AN33" s="8">
        <f t="shared" si="22"/>
        <v>0</v>
      </c>
      <c r="AO33" s="63">
        <f t="shared" si="23"/>
        <v>0</v>
      </c>
      <c r="AP33" s="64">
        <f t="shared" si="24"/>
        <v>0</v>
      </c>
      <c r="AQ33" s="66">
        <v>0</v>
      </c>
      <c r="AR33" s="37">
        <f t="shared" si="25"/>
        <v>0</v>
      </c>
      <c r="AS33" s="37">
        <f t="shared" si="26"/>
        <v>0</v>
      </c>
      <c r="AT33" s="37">
        <v>0</v>
      </c>
      <c r="AU33" s="37">
        <f t="shared" si="27"/>
        <v>0</v>
      </c>
      <c r="AV33" s="67">
        <f t="shared" si="28"/>
        <v>0</v>
      </c>
      <c r="AW33" s="64">
        <f t="shared" si="29"/>
        <v>0</v>
      </c>
      <c r="AX33" s="68">
        <v>20</v>
      </c>
      <c r="AY33" s="69">
        <v>20</v>
      </c>
      <c r="AZ33" s="6" t="s">
        <v>570</v>
      </c>
      <c r="BA33" s="6" t="s">
        <v>469</v>
      </c>
    </row>
    <row r="34" spans="1:53" ht="45">
      <c r="A34" s="7" t="s">
        <v>464</v>
      </c>
      <c r="B34" s="7" t="s">
        <v>571</v>
      </c>
      <c r="C34" s="7" t="s">
        <v>571</v>
      </c>
      <c r="D34" s="35" t="s">
        <v>572</v>
      </c>
      <c r="E34" s="6" t="s">
        <v>573</v>
      </c>
      <c r="F34" s="6" t="s">
        <v>477</v>
      </c>
      <c r="G34" s="71">
        <v>41890</v>
      </c>
      <c r="H34" s="62">
        <v>59.81</v>
      </c>
      <c r="I34" s="8">
        <f t="shared" si="0"/>
        <v>0.16386301369863016</v>
      </c>
      <c r="J34" s="8">
        <f t="shared" si="1"/>
        <v>4.9841666666666669</v>
      </c>
      <c r="K34" s="8">
        <v>59.81</v>
      </c>
      <c r="L34" s="8">
        <f t="shared" si="2"/>
        <v>0.16386301369863016</v>
      </c>
      <c r="M34" s="63">
        <f t="shared" si="3"/>
        <v>4.9841666666666669</v>
      </c>
      <c r="N34" s="64">
        <f t="shared" si="4"/>
        <v>0</v>
      </c>
      <c r="O34" s="62">
        <v>0</v>
      </c>
      <c r="P34" s="8">
        <f t="shared" si="5"/>
        <v>0</v>
      </c>
      <c r="Q34" s="8">
        <f t="shared" si="6"/>
        <v>0</v>
      </c>
      <c r="R34" s="8">
        <v>0</v>
      </c>
      <c r="S34" s="8">
        <f t="shared" si="7"/>
        <v>0</v>
      </c>
      <c r="T34" s="63">
        <f t="shared" si="8"/>
        <v>0</v>
      </c>
      <c r="U34" s="65">
        <f t="shared" si="9"/>
        <v>0</v>
      </c>
      <c r="V34" s="62">
        <f>59.81</f>
        <v>59.81</v>
      </c>
      <c r="W34" s="8">
        <f t="shared" si="10"/>
        <v>0.16386301369863016</v>
      </c>
      <c r="X34" s="8">
        <f t="shared" si="11"/>
        <v>4.9841666666666669</v>
      </c>
      <c r="Y34" s="8">
        <f>59.81</f>
        <v>59.81</v>
      </c>
      <c r="Z34" s="8">
        <f t="shared" si="12"/>
        <v>0.16386301369863016</v>
      </c>
      <c r="AA34" s="63">
        <f t="shared" si="13"/>
        <v>4.9841666666666669</v>
      </c>
      <c r="AB34" s="65">
        <f t="shared" si="14"/>
        <v>0</v>
      </c>
      <c r="AC34" s="62">
        <v>0</v>
      </c>
      <c r="AD34" s="8">
        <f t="shared" si="15"/>
        <v>0</v>
      </c>
      <c r="AE34" s="8">
        <f t="shared" si="16"/>
        <v>0</v>
      </c>
      <c r="AF34" s="8">
        <v>0</v>
      </c>
      <c r="AG34" s="8">
        <f t="shared" si="17"/>
        <v>0</v>
      </c>
      <c r="AH34" s="63">
        <f t="shared" si="18"/>
        <v>0</v>
      </c>
      <c r="AI34" s="64">
        <f t="shared" si="19"/>
        <v>0</v>
      </c>
      <c r="AJ34" s="62">
        <v>0</v>
      </c>
      <c r="AK34" s="8">
        <f t="shared" si="20"/>
        <v>0</v>
      </c>
      <c r="AL34" s="8">
        <f t="shared" si="21"/>
        <v>0</v>
      </c>
      <c r="AM34" s="8">
        <v>0</v>
      </c>
      <c r="AN34" s="8">
        <f t="shared" si="22"/>
        <v>0</v>
      </c>
      <c r="AO34" s="63">
        <f t="shared" si="23"/>
        <v>0</v>
      </c>
      <c r="AP34" s="64">
        <f t="shared" si="24"/>
        <v>0</v>
      </c>
      <c r="AQ34" s="66">
        <f>146.3+25.87</f>
        <v>172.17000000000002</v>
      </c>
      <c r="AR34" s="37">
        <f t="shared" si="25"/>
        <v>0.47169863013698632</v>
      </c>
      <c r="AS34" s="37">
        <f t="shared" si="26"/>
        <v>14.347500000000002</v>
      </c>
      <c r="AT34" s="37">
        <f>146.3+25.87</f>
        <v>172.17000000000002</v>
      </c>
      <c r="AU34" s="37">
        <f t="shared" si="27"/>
        <v>0.47169863013698632</v>
      </c>
      <c r="AV34" s="67">
        <f t="shared" si="28"/>
        <v>14.347500000000002</v>
      </c>
      <c r="AW34" s="64">
        <f t="shared" si="29"/>
        <v>0</v>
      </c>
      <c r="AX34" s="68" t="s">
        <v>482</v>
      </c>
      <c r="AY34" s="69">
        <v>14</v>
      </c>
      <c r="AZ34" s="6" t="s">
        <v>574</v>
      </c>
      <c r="BA34" s="6" t="s">
        <v>469</v>
      </c>
    </row>
    <row r="35" spans="1:53" ht="30">
      <c r="A35" s="7" t="s">
        <v>464</v>
      </c>
      <c r="B35" s="7" t="s">
        <v>575</v>
      </c>
      <c r="C35" s="7" t="s">
        <v>575</v>
      </c>
      <c r="D35" s="77" t="s">
        <v>565</v>
      </c>
      <c r="E35" s="6" t="s">
        <v>472</v>
      </c>
      <c r="F35" s="6" t="s">
        <v>477</v>
      </c>
      <c r="G35" s="71">
        <v>41898</v>
      </c>
      <c r="H35" s="62">
        <v>1940.34</v>
      </c>
      <c r="I35" s="8">
        <f t="shared" si="0"/>
        <v>5.3159999999999998</v>
      </c>
      <c r="J35" s="8">
        <f t="shared" si="1"/>
        <v>161.69499999999999</v>
      </c>
      <c r="K35" s="8">
        <v>1940.34</v>
      </c>
      <c r="L35" s="8">
        <f t="shared" si="2"/>
        <v>5.3159999999999998</v>
      </c>
      <c r="M35" s="63">
        <f t="shared" si="3"/>
        <v>161.69499999999999</v>
      </c>
      <c r="N35" s="64">
        <f t="shared" si="4"/>
        <v>0</v>
      </c>
      <c r="O35" s="62">
        <v>0</v>
      </c>
      <c r="P35" s="8">
        <f t="shared" si="5"/>
        <v>0</v>
      </c>
      <c r="Q35" s="8">
        <f t="shared" si="6"/>
        <v>0</v>
      </c>
      <c r="R35" s="8">
        <v>0</v>
      </c>
      <c r="S35" s="8">
        <f t="shared" si="7"/>
        <v>0</v>
      </c>
      <c r="T35" s="63">
        <f t="shared" si="8"/>
        <v>0</v>
      </c>
      <c r="U35" s="65">
        <f t="shared" si="9"/>
        <v>0</v>
      </c>
      <c r="V35" s="62">
        <f>1941.31-258.065-258.065</f>
        <v>1425.1799999999998</v>
      </c>
      <c r="W35" s="8">
        <f t="shared" si="10"/>
        <v>3.9046027397260268</v>
      </c>
      <c r="X35" s="8">
        <f t="shared" si="11"/>
        <v>118.76499999999999</v>
      </c>
      <c r="Y35" s="8">
        <f>1941.31-258.065-258.065</f>
        <v>1425.1799999999998</v>
      </c>
      <c r="Z35" s="8">
        <f t="shared" si="12"/>
        <v>3.9046027397260268</v>
      </c>
      <c r="AA35" s="63">
        <f t="shared" si="13"/>
        <v>118.76499999999999</v>
      </c>
      <c r="AB35" s="65">
        <f t="shared" si="14"/>
        <v>0</v>
      </c>
      <c r="AC35" s="62">
        <f>258.065+258.065</f>
        <v>516.13</v>
      </c>
      <c r="AD35" s="8">
        <f t="shared" si="15"/>
        <v>1.4140547945205479</v>
      </c>
      <c r="AE35" s="8">
        <f t="shared" si="16"/>
        <v>43.010833333333331</v>
      </c>
      <c r="AF35" s="8">
        <f>227.796+288.335</f>
        <v>516.13099999999997</v>
      </c>
      <c r="AG35" s="8">
        <f t="shared" si="17"/>
        <v>1.4140575342465753</v>
      </c>
      <c r="AH35" s="63">
        <f t="shared" si="18"/>
        <v>43.010916666666667</v>
      </c>
      <c r="AI35" s="64">
        <f t="shared" si="19"/>
        <v>2.7397260273787083E-6</v>
      </c>
      <c r="AJ35" s="62">
        <v>0</v>
      </c>
      <c r="AK35" s="8">
        <f t="shared" si="20"/>
        <v>0</v>
      </c>
      <c r="AL35" s="8">
        <f t="shared" si="21"/>
        <v>0</v>
      </c>
      <c r="AM35" s="8">
        <v>0</v>
      </c>
      <c r="AN35" s="8">
        <f t="shared" si="22"/>
        <v>0</v>
      </c>
      <c r="AO35" s="63">
        <f t="shared" si="23"/>
        <v>0</v>
      </c>
      <c r="AP35" s="64">
        <f t="shared" si="24"/>
        <v>0</v>
      </c>
      <c r="AQ35" s="66">
        <v>0</v>
      </c>
      <c r="AR35" s="37">
        <f t="shared" si="25"/>
        <v>0</v>
      </c>
      <c r="AS35" s="37">
        <f t="shared" si="26"/>
        <v>0</v>
      </c>
      <c r="AT35" s="37">
        <v>0</v>
      </c>
      <c r="AU35" s="37">
        <f t="shared" si="27"/>
        <v>0</v>
      </c>
      <c r="AV35" s="67">
        <f t="shared" si="28"/>
        <v>0</v>
      </c>
      <c r="AW35" s="64">
        <f t="shared" si="29"/>
        <v>0</v>
      </c>
      <c r="AX35" s="68" t="s">
        <v>482</v>
      </c>
      <c r="AY35" s="69">
        <v>10</v>
      </c>
      <c r="AZ35" s="6" t="s">
        <v>576</v>
      </c>
      <c r="BA35" s="6" t="s">
        <v>469</v>
      </c>
    </row>
    <row r="36" spans="1:53">
      <c r="A36" s="7" t="s">
        <v>464</v>
      </c>
      <c r="B36" s="7" t="s">
        <v>577</v>
      </c>
      <c r="C36" s="7" t="s">
        <v>577</v>
      </c>
      <c r="D36" s="6" t="s">
        <v>578</v>
      </c>
      <c r="E36" s="6" t="s">
        <v>15</v>
      </c>
      <c r="F36" s="6" t="s">
        <v>467</v>
      </c>
      <c r="G36" s="71">
        <v>41907</v>
      </c>
      <c r="H36" s="62">
        <v>0</v>
      </c>
      <c r="I36" s="8">
        <f t="shared" si="0"/>
        <v>0</v>
      </c>
      <c r="J36" s="8">
        <f t="shared" si="1"/>
        <v>0</v>
      </c>
      <c r="K36" s="8">
        <v>0.50700000000000001</v>
      </c>
      <c r="L36" s="8">
        <f t="shared" si="2"/>
        <v>1.389041095890411E-3</v>
      </c>
      <c r="M36" s="63">
        <f t="shared" si="3"/>
        <v>4.2250000000000003E-2</v>
      </c>
      <c r="N36" s="64">
        <f t="shared" si="4"/>
        <v>1.389041095890411E-3</v>
      </c>
      <c r="O36" s="62">
        <v>0</v>
      </c>
      <c r="P36" s="8">
        <f t="shared" si="5"/>
        <v>0</v>
      </c>
      <c r="Q36" s="8">
        <f t="shared" si="6"/>
        <v>0</v>
      </c>
      <c r="R36" s="8">
        <v>0</v>
      </c>
      <c r="S36" s="8">
        <f t="shared" si="7"/>
        <v>0</v>
      </c>
      <c r="T36" s="63">
        <f t="shared" si="8"/>
        <v>0</v>
      </c>
      <c r="U36" s="65">
        <f t="shared" si="9"/>
        <v>0</v>
      </c>
      <c r="V36" s="62">
        <v>0</v>
      </c>
      <c r="W36" s="8">
        <f t="shared" si="10"/>
        <v>0</v>
      </c>
      <c r="X36" s="8">
        <f t="shared" si="11"/>
        <v>0</v>
      </c>
      <c r="Y36" s="113">
        <v>0.50700000000000001</v>
      </c>
      <c r="Z36" s="8">
        <f t="shared" si="12"/>
        <v>1.389041095890411E-3</v>
      </c>
      <c r="AA36" s="63">
        <f t="shared" si="13"/>
        <v>4.2250000000000003E-2</v>
      </c>
      <c r="AB36" s="65">
        <f t="shared" si="14"/>
        <v>1.389041095890411E-3</v>
      </c>
      <c r="AC36" s="62">
        <v>0</v>
      </c>
      <c r="AD36" s="8">
        <f t="shared" si="15"/>
        <v>0</v>
      </c>
      <c r="AE36" s="8">
        <f t="shared" si="16"/>
        <v>0</v>
      </c>
      <c r="AF36" s="8">
        <v>0</v>
      </c>
      <c r="AG36" s="8">
        <f t="shared" si="17"/>
        <v>0</v>
      </c>
      <c r="AH36" s="63">
        <f t="shared" si="18"/>
        <v>0</v>
      </c>
      <c r="AI36" s="64">
        <f t="shared" si="19"/>
        <v>0</v>
      </c>
      <c r="AJ36" s="62">
        <v>0</v>
      </c>
      <c r="AK36" s="8">
        <f t="shared" si="20"/>
        <v>0</v>
      </c>
      <c r="AL36" s="8">
        <f t="shared" si="21"/>
        <v>0</v>
      </c>
      <c r="AM36" s="8">
        <v>0</v>
      </c>
      <c r="AN36" s="8">
        <f t="shared" si="22"/>
        <v>0</v>
      </c>
      <c r="AO36" s="63">
        <f t="shared" si="23"/>
        <v>0</v>
      </c>
      <c r="AP36" s="64">
        <f t="shared" si="24"/>
        <v>0</v>
      </c>
      <c r="AQ36" s="66">
        <v>0</v>
      </c>
      <c r="AR36" s="37">
        <f t="shared" si="25"/>
        <v>0</v>
      </c>
      <c r="AS36" s="37">
        <f t="shared" si="26"/>
        <v>0</v>
      </c>
      <c r="AT36" s="37">
        <v>0</v>
      </c>
      <c r="AU36" s="37">
        <f t="shared" si="27"/>
        <v>0</v>
      </c>
      <c r="AV36" s="67">
        <f t="shared" si="28"/>
        <v>0</v>
      </c>
      <c r="AW36" s="64">
        <f t="shared" si="29"/>
        <v>0</v>
      </c>
      <c r="AX36" s="68">
        <v>20</v>
      </c>
      <c r="AY36" s="69">
        <v>10</v>
      </c>
      <c r="AZ36" s="6"/>
      <c r="BA36" s="6" t="s">
        <v>469</v>
      </c>
    </row>
    <row r="37" spans="1:53">
      <c r="A37" s="7" t="s">
        <v>464</v>
      </c>
      <c r="B37" s="7" t="s">
        <v>579</v>
      </c>
      <c r="C37" s="7" t="s">
        <v>579</v>
      </c>
      <c r="D37" s="6" t="s">
        <v>580</v>
      </c>
      <c r="E37" s="6" t="s">
        <v>15</v>
      </c>
      <c r="F37" s="6" t="s">
        <v>467</v>
      </c>
      <c r="G37" s="61">
        <v>41907</v>
      </c>
      <c r="H37" s="62">
        <v>0</v>
      </c>
      <c r="I37" s="8">
        <f t="shared" si="0"/>
        <v>0</v>
      </c>
      <c r="J37" s="8">
        <f t="shared" si="1"/>
        <v>0</v>
      </c>
      <c r="K37" s="8">
        <v>0.50700000000000001</v>
      </c>
      <c r="L37" s="8">
        <f t="shared" si="2"/>
        <v>1.389041095890411E-3</v>
      </c>
      <c r="M37" s="63">
        <f t="shared" si="3"/>
        <v>4.2250000000000003E-2</v>
      </c>
      <c r="N37" s="64">
        <f t="shared" si="4"/>
        <v>1.389041095890411E-3</v>
      </c>
      <c r="O37" s="62">
        <v>0</v>
      </c>
      <c r="P37" s="8">
        <f t="shared" si="5"/>
        <v>0</v>
      </c>
      <c r="Q37" s="8">
        <f t="shared" si="6"/>
        <v>0</v>
      </c>
      <c r="R37" s="8">
        <v>0</v>
      </c>
      <c r="S37" s="8">
        <f t="shared" si="7"/>
        <v>0</v>
      </c>
      <c r="T37" s="63">
        <f t="shared" si="8"/>
        <v>0</v>
      </c>
      <c r="U37" s="65">
        <f t="shared" si="9"/>
        <v>0</v>
      </c>
      <c r="V37" s="62">
        <v>0</v>
      </c>
      <c r="W37" s="8">
        <f t="shared" si="10"/>
        <v>0</v>
      </c>
      <c r="X37" s="8">
        <f t="shared" si="11"/>
        <v>0</v>
      </c>
      <c r="Y37" s="8">
        <v>0.50700000000000001</v>
      </c>
      <c r="Z37" s="8">
        <f t="shared" si="12"/>
        <v>1.389041095890411E-3</v>
      </c>
      <c r="AA37" s="63">
        <f t="shared" si="13"/>
        <v>4.2250000000000003E-2</v>
      </c>
      <c r="AB37" s="65">
        <f t="shared" si="14"/>
        <v>1.389041095890411E-3</v>
      </c>
      <c r="AC37" s="62">
        <v>0</v>
      </c>
      <c r="AD37" s="8">
        <f t="shared" si="15"/>
        <v>0</v>
      </c>
      <c r="AE37" s="8">
        <f t="shared" si="16"/>
        <v>0</v>
      </c>
      <c r="AF37" s="8">
        <v>0</v>
      </c>
      <c r="AG37" s="8">
        <f t="shared" si="17"/>
        <v>0</v>
      </c>
      <c r="AH37" s="63">
        <f t="shared" si="18"/>
        <v>0</v>
      </c>
      <c r="AI37" s="64">
        <f t="shared" si="19"/>
        <v>0</v>
      </c>
      <c r="AJ37" s="62">
        <v>0</v>
      </c>
      <c r="AK37" s="8">
        <f t="shared" si="20"/>
        <v>0</v>
      </c>
      <c r="AL37" s="8">
        <f t="shared" si="21"/>
        <v>0</v>
      </c>
      <c r="AM37" s="8">
        <v>0</v>
      </c>
      <c r="AN37" s="8">
        <f t="shared" si="22"/>
        <v>0</v>
      </c>
      <c r="AO37" s="63">
        <f t="shared" si="23"/>
        <v>0</v>
      </c>
      <c r="AP37" s="64">
        <f t="shared" si="24"/>
        <v>0</v>
      </c>
      <c r="AQ37" s="66">
        <v>0</v>
      </c>
      <c r="AR37" s="37">
        <f t="shared" si="25"/>
        <v>0</v>
      </c>
      <c r="AS37" s="37">
        <f t="shared" si="26"/>
        <v>0</v>
      </c>
      <c r="AT37" s="37">
        <v>0</v>
      </c>
      <c r="AU37" s="37">
        <f t="shared" si="27"/>
        <v>0</v>
      </c>
      <c r="AV37" s="67">
        <f t="shared" si="28"/>
        <v>0</v>
      </c>
      <c r="AW37" s="64">
        <f t="shared" si="29"/>
        <v>0</v>
      </c>
      <c r="AX37" s="68">
        <v>20</v>
      </c>
      <c r="AY37" s="69">
        <v>10</v>
      </c>
      <c r="AZ37" s="6"/>
      <c r="BA37" s="6" t="s">
        <v>469</v>
      </c>
    </row>
    <row r="38" spans="1:53" ht="30">
      <c r="A38" s="7" t="s">
        <v>464</v>
      </c>
      <c r="B38" s="7" t="s">
        <v>581</v>
      </c>
      <c r="C38" s="7" t="s">
        <v>581</v>
      </c>
      <c r="D38" s="6" t="s">
        <v>582</v>
      </c>
      <c r="E38" s="6" t="s">
        <v>15</v>
      </c>
      <c r="F38" s="6" t="s">
        <v>514</v>
      </c>
      <c r="G38" s="71">
        <v>41915</v>
      </c>
      <c r="H38" s="62">
        <v>11.52</v>
      </c>
      <c r="I38" s="8">
        <f t="shared" si="0"/>
        <v>3.1561643835616437E-2</v>
      </c>
      <c r="J38" s="8">
        <f t="shared" si="1"/>
        <v>0.96</v>
      </c>
      <c r="K38" s="8">
        <v>44.24</v>
      </c>
      <c r="L38" s="8">
        <f t="shared" si="2"/>
        <v>0.1212054794520548</v>
      </c>
      <c r="M38" s="63">
        <f t="shared" si="3"/>
        <v>3.686666666666667</v>
      </c>
      <c r="N38" s="64">
        <f t="shared" si="4"/>
        <v>8.9643835616438364E-2</v>
      </c>
      <c r="O38" s="62">
        <v>0</v>
      </c>
      <c r="P38" s="8">
        <f t="shared" si="5"/>
        <v>0</v>
      </c>
      <c r="Q38" s="8">
        <f t="shared" si="6"/>
        <v>0</v>
      </c>
      <c r="R38" s="8">
        <v>0</v>
      </c>
      <c r="S38" s="8">
        <f t="shared" si="7"/>
        <v>0</v>
      </c>
      <c r="T38" s="63">
        <f t="shared" si="8"/>
        <v>0</v>
      </c>
      <c r="U38" s="65">
        <f t="shared" si="9"/>
        <v>0</v>
      </c>
      <c r="V38" s="62">
        <v>11.52</v>
      </c>
      <c r="W38" s="8">
        <f t="shared" si="10"/>
        <v>3.1561643835616437E-2</v>
      </c>
      <c r="X38" s="8">
        <f t="shared" si="11"/>
        <v>0.96</v>
      </c>
      <c r="Y38" s="8">
        <v>44.24</v>
      </c>
      <c r="Z38" s="8">
        <f t="shared" si="12"/>
        <v>0.1212054794520548</v>
      </c>
      <c r="AA38" s="63">
        <f t="shared" si="13"/>
        <v>3.686666666666667</v>
      </c>
      <c r="AB38" s="65">
        <f t="shared" si="14"/>
        <v>8.9643835616438364E-2</v>
      </c>
      <c r="AC38" s="62">
        <v>0</v>
      </c>
      <c r="AD38" s="8">
        <f t="shared" si="15"/>
        <v>0</v>
      </c>
      <c r="AE38" s="8">
        <f t="shared" si="16"/>
        <v>0</v>
      </c>
      <c r="AF38" s="8">
        <v>0</v>
      </c>
      <c r="AG38" s="8">
        <f t="shared" si="17"/>
        <v>0</v>
      </c>
      <c r="AH38" s="63">
        <f t="shared" si="18"/>
        <v>0</v>
      </c>
      <c r="AI38" s="64">
        <f t="shared" si="19"/>
        <v>0</v>
      </c>
      <c r="AJ38" s="62">
        <v>0</v>
      </c>
      <c r="AK38" s="8">
        <f t="shared" si="20"/>
        <v>0</v>
      </c>
      <c r="AL38" s="8">
        <f t="shared" si="21"/>
        <v>0</v>
      </c>
      <c r="AM38" s="8">
        <v>0</v>
      </c>
      <c r="AN38" s="8">
        <f t="shared" si="22"/>
        <v>0</v>
      </c>
      <c r="AO38" s="63">
        <f t="shared" si="23"/>
        <v>0</v>
      </c>
      <c r="AP38" s="64">
        <f t="shared" si="24"/>
        <v>0</v>
      </c>
      <c r="AQ38" s="66">
        <v>0</v>
      </c>
      <c r="AR38" s="37">
        <f t="shared" si="25"/>
        <v>0</v>
      </c>
      <c r="AS38" s="37">
        <f t="shared" si="26"/>
        <v>0</v>
      </c>
      <c r="AT38" s="37">
        <v>0</v>
      </c>
      <c r="AU38" s="37">
        <f t="shared" si="27"/>
        <v>0</v>
      </c>
      <c r="AV38" s="67">
        <f t="shared" si="28"/>
        <v>0</v>
      </c>
      <c r="AW38" s="64">
        <f t="shared" si="29"/>
        <v>0</v>
      </c>
      <c r="AX38" s="68" t="s">
        <v>482</v>
      </c>
      <c r="AY38" s="69">
        <v>6</v>
      </c>
      <c r="AZ38" s="6" t="s">
        <v>583</v>
      </c>
      <c r="BA38" s="6" t="s">
        <v>469</v>
      </c>
    </row>
    <row r="39" spans="1:53" ht="30">
      <c r="A39" s="7" t="s">
        <v>464</v>
      </c>
      <c r="B39" s="7" t="s">
        <v>584</v>
      </c>
      <c r="C39" s="7" t="s">
        <v>584</v>
      </c>
      <c r="D39" s="6" t="s">
        <v>585</v>
      </c>
      <c r="E39" s="6" t="s">
        <v>15</v>
      </c>
      <c r="F39" s="6" t="s">
        <v>514</v>
      </c>
      <c r="G39" s="71">
        <v>41921</v>
      </c>
      <c r="H39" s="62">
        <v>0</v>
      </c>
      <c r="I39" s="8">
        <f t="shared" si="0"/>
        <v>0</v>
      </c>
      <c r="J39" s="8">
        <f t="shared" si="1"/>
        <v>0</v>
      </c>
      <c r="K39" s="8">
        <v>19.21</v>
      </c>
      <c r="L39" s="8">
        <f t="shared" si="2"/>
        <v>5.2630136986301375E-2</v>
      </c>
      <c r="M39" s="63">
        <f t="shared" si="3"/>
        <v>1.6008333333333333</v>
      </c>
      <c r="N39" s="64">
        <f t="shared" si="4"/>
        <v>5.2630136986301375E-2</v>
      </c>
      <c r="O39" s="62">
        <v>0</v>
      </c>
      <c r="P39" s="8">
        <f t="shared" si="5"/>
        <v>0</v>
      </c>
      <c r="Q39" s="8">
        <f t="shared" si="6"/>
        <v>0</v>
      </c>
      <c r="R39" s="8">
        <v>0</v>
      </c>
      <c r="S39" s="8">
        <f t="shared" si="7"/>
        <v>0</v>
      </c>
      <c r="T39" s="63">
        <f t="shared" si="8"/>
        <v>0</v>
      </c>
      <c r="U39" s="65">
        <f t="shared" si="9"/>
        <v>0</v>
      </c>
      <c r="V39" s="62">
        <v>0</v>
      </c>
      <c r="W39" s="8">
        <f t="shared" si="10"/>
        <v>0</v>
      </c>
      <c r="X39" s="8">
        <f t="shared" si="11"/>
        <v>0</v>
      </c>
      <c r="Y39" s="8">
        <v>19.21</v>
      </c>
      <c r="Z39" s="8">
        <f t="shared" si="12"/>
        <v>5.2630136986301375E-2</v>
      </c>
      <c r="AA39" s="63">
        <f t="shared" si="13"/>
        <v>1.6008333333333333</v>
      </c>
      <c r="AB39" s="65">
        <f t="shared" si="14"/>
        <v>5.2630136986301375E-2</v>
      </c>
      <c r="AC39" s="62">
        <v>0</v>
      </c>
      <c r="AD39" s="8">
        <f t="shared" si="15"/>
        <v>0</v>
      </c>
      <c r="AE39" s="8">
        <f t="shared" si="16"/>
        <v>0</v>
      </c>
      <c r="AF39" s="8">
        <v>0</v>
      </c>
      <c r="AG39" s="8">
        <f t="shared" si="17"/>
        <v>0</v>
      </c>
      <c r="AH39" s="63">
        <f t="shared" si="18"/>
        <v>0</v>
      </c>
      <c r="AI39" s="64">
        <f t="shared" si="19"/>
        <v>0</v>
      </c>
      <c r="AJ39" s="62">
        <v>0</v>
      </c>
      <c r="AK39" s="8">
        <f t="shared" si="20"/>
        <v>0</v>
      </c>
      <c r="AL39" s="8">
        <f t="shared" si="21"/>
        <v>0</v>
      </c>
      <c r="AM39" s="8">
        <v>0</v>
      </c>
      <c r="AN39" s="8">
        <f t="shared" si="22"/>
        <v>0</v>
      </c>
      <c r="AO39" s="63">
        <f t="shared" si="23"/>
        <v>0</v>
      </c>
      <c r="AP39" s="64">
        <f t="shared" si="24"/>
        <v>0</v>
      </c>
      <c r="AQ39" s="66">
        <v>0</v>
      </c>
      <c r="AR39" s="37">
        <f t="shared" si="25"/>
        <v>0</v>
      </c>
      <c r="AS39" s="37">
        <f t="shared" si="26"/>
        <v>0</v>
      </c>
      <c r="AT39" s="37">
        <v>0</v>
      </c>
      <c r="AU39" s="37">
        <f t="shared" si="27"/>
        <v>0</v>
      </c>
      <c r="AV39" s="67">
        <f t="shared" si="28"/>
        <v>0</v>
      </c>
      <c r="AW39" s="64">
        <f t="shared" si="29"/>
        <v>0</v>
      </c>
      <c r="AX39" s="68">
        <v>20</v>
      </c>
      <c r="AY39" s="69">
        <v>10</v>
      </c>
      <c r="AZ39" s="6"/>
      <c r="BA39" s="6" t="s">
        <v>469</v>
      </c>
    </row>
    <row r="40" spans="1:53" ht="90">
      <c r="A40" s="96" t="s">
        <v>464</v>
      </c>
      <c r="B40" s="96" t="s">
        <v>586</v>
      </c>
      <c r="C40" s="96" t="s">
        <v>586</v>
      </c>
      <c r="D40" s="97" t="s">
        <v>587</v>
      </c>
      <c r="E40" s="97" t="s">
        <v>15</v>
      </c>
      <c r="F40" s="97" t="s">
        <v>473</v>
      </c>
      <c r="G40" s="98">
        <v>41946</v>
      </c>
      <c r="H40" s="66">
        <v>0</v>
      </c>
      <c r="I40" s="37">
        <f t="shared" si="0"/>
        <v>0</v>
      </c>
      <c r="J40" s="37">
        <f t="shared" si="1"/>
        <v>0</v>
      </c>
      <c r="K40" s="37">
        <v>0</v>
      </c>
      <c r="L40" s="37">
        <f t="shared" si="2"/>
        <v>0</v>
      </c>
      <c r="M40" s="67">
        <f t="shared" si="3"/>
        <v>0</v>
      </c>
      <c r="N40" s="64">
        <f t="shared" si="4"/>
        <v>0</v>
      </c>
      <c r="O40" s="62">
        <v>0</v>
      </c>
      <c r="P40" s="8">
        <f t="shared" si="5"/>
        <v>0</v>
      </c>
      <c r="Q40" s="8">
        <f t="shared" si="6"/>
        <v>0</v>
      </c>
      <c r="R40" s="8">
        <v>0</v>
      </c>
      <c r="S40" s="8">
        <f t="shared" si="7"/>
        <v>0</v>
      </c>
      <c r="T40" s="63">
        <f t="shared" si="8"/>
        <v>0</v>
      </c>
      <c r="U40" s="65">
        <f t="shared" si="9"/>
        <v>0</v>
      </c>
      <c r="V40" s="62">
        <v>0</v>
      </c>
      <c r="W40" s="8">
        <f t="shared" si="10"/>
        <v>0</v>
      </c>
      <c r="X40" s="8">
        <f t="shared" si="11"/>
        <v>0</v>
      </c>
      <c r="Y40" s="8">
        <v>0</v>
      </c>
      <c r="Z40" s="8">
        <f t="shared" si="12"/>
        <v>0</v>
      </c>
      <c r="AA40" s="63">
        <f t="shared" si="13"/>
        <v>0</v>
      </c>
      <c r="AB40" s="65">
        <f t="shared" si="14"/>
        <v>0</v>
      </c>
      <c r="AC40" s="62">
        <v>0</v>
      </c>
      <c r="AD40" s="8">
        <f t="shared" si="15"/>
        <v>0</v>
      </c>
      <c r="AE40" s="8">
        <f t="shared" si="16"/>
        <v>0</v>
      </c>
      <c r="AF40" s="8">
        <v>0</v>
      </c>
      <c r="AG40" s="8">
        <f t="shared" si="17"/>
        <v>0</v>
      </c>
      <c r="AH40" s="63">
        <f t="shared" si="18"/>
        <v>0</v>
      </c>
      <c r="AI40" s="64">
        <f t="shared" si="19"/>
        <v>0</v>
      </c>
      <c r="AJ40" s="62">
        <v>0</v>
      </c>
      <c r="AK40" s="8">
        <f t="shared" si="20"/>
        <v>0</v>
      </c>
      <c r="AL40" s="8">
        <f t="shared" si="21"/>
        <v>0</v>
      </c>
      <c r="AM40" s="8">
        <v>0</v>
      </c>
      <c r="AN40" s="8">
        <f t="shared" si="22"/>
        <v>0</v>
      </c>
      <c r="AO40" s="63">
        <f t="shared" si="23"/>
        <v>0</v>
      </c>
      <c r="AP40" s="64">
        <f t="shared" si="24"/>
        <v>0</v>
      </c>
      <c r="AQ40" s="66">
        <v>0</v>
      </c>
      <c r="AR40" s="37">
        <f t="shared" si="25"/>
        <v>0</v>
      </c>
      <c r="AS40" s="37">
        <f t="shared" si="26"/>
        <v>0</v>
      </c>
      <c r="AT40" s="37">
        <v>0</v>
      </c>
      <c r="AU40" s="37">
        <f t="shared" si="27"/>
        <v>0</v>
      </c>
      <c r="AV40" s="67">
        <f t="shared" si="28"/>
        <v>0</v>
      </c>
      <c r="AW40" s="64">
        <f t="shared" si="29"/>
        <v>0</v>
      </c>
      <c r="AX40" s="108">
        <v>20</v>
      </c>
      <c r="AY40" s="103">
        <v>20</v>
      </c>
      <c r="AZ40" s="114" t="s">
        <v>588</v>
      </c>
      <c r="BA40" s="97" t="s">
        <v>469</v>
      </c>
    </row>
    <row r="41" spans="1:53">
      <c r="A41" s="115" t="s">
        <v>464</v>
      </c>
      <c r="B41" s="115" t="s">
        <v>589</v>
      </c>
      <c r="C41" s="115" t="s">
        <v>589</v>
      </c>
      <c r="D41" s="60" t="s">
        <v>590</v>
      </c>
      <c r="E41" s="60" t="s">
        <v>591</v>
      </c>
      <c r="F41" s="60" t="s">
        <v>477</v>
      </c>
      <c r="G41" s="116">
        <v>41953</v>
      </c>
      <c r="H41" s="117">
        <f>10220+1095</f>
        <v>11315</v>
      </c>
      <c r="I41" s="118">
        <f t="shared" si="0"/>
        <v>31</v>
      </c>
      <c r="J41" s="118">
        <f t="shared" si="1"/>
        <v>942.91666666666663</v>
      </c>
      <c r="K41" s="118">
        <f>10220+1095</f>
        <v>11315</v>
      </c>
      <c r="L41" s="118">
        <f t="shared" si="2"/>
        <v>31</v>
      </c>
      <c r="M41" s="119">
        <f t="shared" si="3"/>
        <v>942.91666666666663</v>
      </c>
      <c r="N41" s="64">
        <f t="shared" si="4"/>
        <v>0</v>
      </c>
      <c r="O41" s="62">
        <v>0</v>
      </c>
      <c r="P41" s="8">
        <f t="shared" si="5"/>
        <v>0</v>
      </c>
      <c r="Q41" s="8">
        <f t="shared" si="6"/>
        <v>0</v>
      </c>
      <c r="R41" s="8">
        <v>0</v>
      </c>
      <c r="S41" s="8">
        <f t="shared" si="7"/>
        <v>0</v>
      </c>
      <c r="T41" s="63">
        <f t="shared" si="8"/>
        <v>0</v>
      </c>
      <c r="U41" s="65">
        <f t="shared" si="9"/>
        <v>0</v>
      </c>
      <c r="V41" s="62">
        <v>10220</v>
      </c>
      <c r="W41" s="8">
        <f t="shared" si="10"/>
        <v>28</v>
      </c>
      <c r="X41" s="8">
        <f t="shared" si="11"/>
        <v>851.66666666666663</v>
      </c>
      <c r="Y41" s="8">
        <v>10220</v>
      </c>
      <c r="Z41" s="8">
        <f t="shared" si="12"/>
        <v>28</v>
      </c>
      <c r="AA41" s="63">
        <f t="shared" si="13"/>
        <v>851.66666666666663</v>
      </c>
      <c r="AB41" s="65">
        <f t="shared" si="14"/>
        <v>0</v>
      </c>
      <c r="AC41" s="62">
        <v>0</v>
      </c>
      <c r="AD41" s="8">
        <f t="shared" si="15"/>
        <v>0</v>
      </c>
      <c r="AE41" s="8">
        <f t="shared" si="16"/>
        <v>0</v>
      </c>
      <c r="AF41" s="8">
        <v>0</v>
      </c>
      <c r="AG41" s="8">
        <f t="shared" si="17"/>
        <v>0</v>
      </c>
      <c r="AH41" s="63">
        <f t="shared" si="18"/>
        <v>0</v>
      </c>
      <c r="AI41" s="64">
        <f t="shared" si="19"/>
        <v>0</v>
      </c>
      <c r="AJ41" s="62">
        <v>1095</v>
      </c>
      <c r="AK41" s="8">
        <f t="shared" si="20"/>
        <v>3</v>
      </c>
      <c r="AL41" s="8">
        <f t="shared" si="21"/>
        <v>91.25</v>
      </c>
      <c r="AM41" s="8">
        <v>1095</v>
      </c>
      <c r="AN41" s="8">
        <f t="shared" si="22"/>
        <v>3</v>
      </c>
      <c r="AO41" s="63">
        <f t="shared" si="23"/>
        <v>91.25</v>
      </c>
      <c r="AP41" s="64">
        <f t="shared" si="24"/>
        <v>0</v>
      </c>
      <c r="AQ41" s="120">
        <v>3223</v>
      </c>
      <c r="AR41" s="121">
        <f t="shared" si="25"/>
        <v>8.830136986301369</v>
      </c>
      <c r="AS41" s="121">
        <f t="shared" si="26"/>
        <v>268.58333333333331</v>
      </c>
      <c r="AT41" s="121">
        <v>3223</v>
      </c>
      <c r="AU41" s="121">
        <f t="shared" si="27"/>
        <v>8.830136986301369</v>
      </c>
      <c r="AV41" s="122">
        <f t="shared" si="28"/>
        <v>268.58333333333331</v>
      </c>
      <c r="AW41" s="64">
        <f t="shared" si="29"/>
        <v>0</v>
      </c>
      <c r="AX41" s="123" t="s">
        <v>482</v>
      </c>
      <c r="AY41" s="124">
        <v>9</v>
      </c>
      <c r="AZ41" s="60" t="s">
        <v>592</v>
      </c>
      <c r="BA41" s="60" t="s">
        <v>469</v>
      </c>
    </row>
    <row r="42" spans="1:53" ht="45">
      <c r="A42" s="72" t="s">
        <v>464</v>
      </c>
      <c r="B42" s="16" t="s">
        <v>593</v>
      </c>
      <c r="C42" s="16" t="s">
        <v>593</v>
      </c>
      <c r="D42" s="60" t="s">
        <v>590</v>
      </c>
      <c r="E42" s="125"/>
      <c r="F42" s="126" t="s">
        <v>477</v>
      </c>
      <c r="G42" s="127">
        <v>41953</v>
      </c>
      <c r="H42" s="66">
        <v>0</v>
      </c>
      <c r="I42" s="37">
        <f t="shared" si="0"/>
        <v>0</v>
      </c>
      <c r="J42" s="37">
        <f t="shared" si="1"/>
        <v>0</v>
      </c>
      <c r="K42" s="37">
        <v>0</v>
      </c>
      <c r="L42" s="37">
        <f t="shared" si="2"/>
        <v>0</v>
      </c>
      <c r="M42" s="67">
        <f t="shared" si="3"/>
        <v>0</v>
      </c>
      <c r="N42" s="64">
        <f t="shared" si="4"/>
        <v>0</v>
      </c>
      <c r="O42" s="62">
        <v>0</v>
      </c>
      <c r="P42" s="8">
        <f t="shared" si="5"/>
        <v>0</v>
      </c>
      <c r="Q42" s="8">
        <f t="shared" si="6"/>
        <v>0</v>
      </c>
      <c r="R42" s="8">
        <v>0</v>
      </c>
      <c r="S42" s="8">
        <f t="shared" si="7"/>
        <v>0</v>
      </c>
      <c r="T42" s="63">
        <f t="shared" si="8"/>
        <v>0</v>
      </c>
      <c r="U42" s="65">
        <f t="shared" si="9"/>
        <v>0</v>
      </c>
      <c r="V42" s="62">
        <v>0</v>
      </c>
      <c r="W42" s="8">
        <f t="shared" si="10"/>
        <v>0</v>
      </c>
      <c r="X42" s="8">
        <f t="shared" si="11"/>
        <v>0</v>
      </c>
      <c r="Y42" s="8">
        <v>0</v>
      </c>
      <c r="Z42" s="8">
        <f t="shared" si="12"/>
        <v>0</v>
      </c>
      <c r="AA42" s="63">
        <f t="shared" si="13"/>
        <v>0</v>
      </c>
      <c r="AB42" s="65">
        <f t="shared" si="14"/>
        <v>0</v>
      </c>
      <c r="AC42" s="62">
        <v>0</v>
      </c>
      <c r="AD42" s="8">
        <f t="shared" si="15"/>
        <v>0</v>
      </c>
      <c r="AE42" s="8">
        <f t="shared" si="16"/>
        <v>0</v>
      </c>
      <c r="AF42" s="8">
        <v>0</v>
      </c>
      <c r="AG42" s="8">
        <f t="shared" si="17"/>
        <v>0</v>
      </c>
      <c r="AH42" s="63">
        <f t="shared" si="18"/>
        <v>0</v>
      </c>
      <c r="AI42" s="64">
        <f t="shared" si="19"/>
        <v>0</v>
      </c>
      <c r="AJ42" s="62">
        <v>0</v>
      </c>
      <c r="AK42" s="8">
        <f t="shared" si="20"/>
        <v>0</v>
      </c>
      <c r="AL42" s="8">
        <f t="shared" si="21"/>
        <v>0</v>
      </c>
      <c r="AM42" s="8">
        <v>0</v>
      </c>
      <c r="AN42" s="8">
        <f t="shared" si="22"/>
        <v>0</v>
      </c>
      <c r="AO42" s="63">
        <f t="shared" si="23"/>
        <v>0</v>
      </c>
      <c r="AP42" s="64">
        <f t="shared" si="24"/>
        <v>0</v>
      </c>
      <c r="AQ42" s="66">
        <v>0</v>
      </c>
      <c r="AR42" s="37">
        <f t="shared" si="25"/>
        <v>0</v>
      </c>
      <c r="AS42" s="37">
        <f t="shared" si="26"/>
        <v>0</v>
      </c>
      <c r="AT42" s="37">
        <v>0</v>
      </c>
      <c r="AU42" s="37">
        <f t="shared" si="27"/>
        <v>0</v>
      </c>
      <c r="AV42" s="67">
        <f t="shared" si="28"/>
        <v>0</v>
      </c>
      <c r="AW42" s="64">
        <f t="shared" si="29"/>
        <v>0</v>
      </c>
      <c r="AX42" s="128"/>
      <c r="AY42" s="129"/>
      <c r="AZ42" s="73" t="s">
        <v>594</v>
      </c>
      <c r="BA42" s="73" t="s">
        <v>486</v>
      </c>
    </row>
    <row r="43" spans="1:53" ht="60">
      <c r="A43" s="130" t="s">
        <v>464</v>
      </c>
      <c r="B43" s="130" t="s">
        <v>595</v>
      </c>
      <c r="C43" s="130" t="s">
        <v>595</v>
      </c>
      <c r="D43" s="131" t="s">
        <v>596</v>
      </c>
      <c r="E43" s="131" t="s">
        <v>597</v>
      </c>
      <c r="F43" s="131" t="s">
        <v>522</v>
      </c>
      <c r="G43" s="132">
        <v>41957</v>
      </c>
      <c r="H43" s="66">
        <v>0</v>
      </c>
      <c r="I43" s="37">
        <f t="shared" si="0"/>
        <v>0</v>
      </c>
      <c r="J43" s="37">
        <f t="shared" si="1"/>
        <v>0</v>
      </c>
      <c r="K43" s="37">
        <v>0</v>
      </c>
      <c r="L43" s="37">
        <f t="shared" si="2"/>
        <v>0</v>
      </c>
      <c r="M43" s="67">
        <f t="shared" si="3"/>
        <v>0</v>
      </c>
      <c r="N43" s="64">
        <f t="shared" si="4"/>
        <v>0</v>
      </c>
      <c r="O43" s="62">
        <v>0</v>
      </c>
      <c r="P43" s="8">
        <f t="shared" si="5"/>
        <v>0</v>
      </c>
      <c r="Q43" s="8">
        <f t="shared" si="6"/>
        <v>0</v>
      </c>
      <c r="R43" s="8">
        <v>0</v>
      </c>
      <c r="S43" s="8">
        <f t="shared" si="7"/>
        <v>0</v>
      </c>
      <c r="T43" s="63">
        <f t="shared" si="8"/>
        <v>0</v>
      </c>
      <c r="U43" s="65">
        <f t="shared" si="9"/>
        <v>0</v>
      </c>
      <c r="V43" s="62">
        <v>0</v>
      </c>
      <c r="W43" s="8">
        <f t="shared" si="10"/>
        <v>0</v>
      </c>
      <c r="X43" s="8">
        <f t="shared" si="11"/>
        <v>0</v>
      </c>
      <c r="Y43" s="8">
        <v>0</v>
      </c>
      <c r="Z43" s="8">
        <f t="shared" si="12"/>
        <v>0</v>
      </c>
      <c r="AA43" s="63">
        <f t="shared" si="13"/>
        <v>0</v>
      </c>
      <c r="AB43" s="65">
        <f t="shared" si="14"/>
        <v>0</v>
      </c>
      <c r="AC43" s="62">
        <v>0</v>
      </c>
      <c r="AD43" s="8">
        <f t="shared" si="15"/>
        <v>0</v>
      </c>
      <c r="AE43" s="8">
        <f t="shared" si="16"/>
        <v>0</v>
      </c>
      <c r="AF43" s="8">
        <v>0</v>
      </c>
      <c r="AG43" s="8">
        <f t="shared" si="17"/>
        <v>0</v>
      </c>
      <c r="AH43" s="63">
        <f t="shared" si="18"/>
        <v>0</v>
      </c>
      <c r="AI43" s="64">
        <f t="shared" si="19"/>
        <v>0</v>
      </c>
      <c r="AJ43" s="62">
        <v>0</v>
      </c>
      <c r="AK43" s="8">
        <f t="shared" si="20"/>
        <v>0</v>
      </c>
      <c r="AL43" s="8">
        <f t="shared" si="21"/>
        <v>0</v>
      </c>
      <c r="AM43" s="8">
        <v>0</v>
      </c>
      <c r="AN43" s="8">
        <f t="shared" si="22"/>
        <v>0</v>
      </c>
      <c r="AO43" s="63">
        <f t="shared" si="23"/>
        <v>0</v>
      </c>
      <c r="AP43" s="64">
        <f t="shared" si="24"/>
        <v>0</v>
      </c>
      <c r="AQ43" s="66">
        <v>0</v>
      </c>
      <c r="AR43" s="37">
        <f t="shared" si="25"/>
        <v>0</v>
      </c>
      <c r="AS43" s="37">
        <f t="shared" si="26"/>
        <v>0</v>
      </c>
      <c r="AT43" s="37">
        <v>0</v>
      </c>
      <c r="AU43" s="37">
        <f t="shared" si="27"/>
        <v>0</v>
      </c>
      <c r="AV43" s="67">
        <f t="shared" si="28"/>
        <v>0</v>
      </c>
      <c r="AW43" s="64">
        <f t="shared" si="29"/>
        <v>0</v>
      </c>
      <c r="AX43" s="133">
        <v>0.25</v>
      </c>
      <c r="AY43" s="134">
        <v>0.25</v>
      </c>
      <c r="AZ43" s="131" t="s">
        <v>598</v>
      </c>
      <c r="BA43" s="131" t="s">
        <v>510</v>
      </c>
    </row>
    <row r="44" spans="1:53" ht="45">
      <c r="A44" s="88" t="s">
        <v>464</v>
      </c>
      <c r="B44" s="88" t="s">
        <v>599</v>
      </c>
      <c r="C44" s="88" t="s">
        <v>599</v>
      </c>
      <c r="D44" s="135" t="s">
        <v>600</v>
      </c>
      <c r="E44" s="89" t="s">
        <v>472</v>
      </c>
      <c r="F44" s="89" t="s">
        <v>477</v>
      </c>
      <c r="G44" s="90">
        <v>41969</v>
      </c>
      <c r="H44" s="62">
        <v>8654.15</v>
      </c>
      <c r="I44" s="8">
        <f t="shared" si="0"/>
        <v>23.709999999999997</v>
      </c>
      <c r="J44" s="8">
        <f t="shared" si="1"/>
        <v>721.17916666666667</v>
      </c>
      <c r="K44" s="8">
        <v>8654.15</v>
      </c>
      <c r="L44" s="8">
        <f t="shared" si="2"/>
        <v>23.709999999999997</v>
      </c>
      <c r="M44" s="63">
        <f t="shared" si="3"/>
        <v>721.17916666666667</v>
      </c>
      <c r="N44" s="64">
        <f t="shared" si="4"/>
        <v>0</v>
      </c>
      <c r="O44" s="62">
        <v>0</v>
      </c>
      <c r="P44" s="8">
        <f t="shared" si="5"/>
        <v>0</v>
      </c>
      <c r="Q44" s="8">
        <f t="shared" si="6"/>
        <v>0</v>
      </c>
      <c r="R44" s="8">
        <v>0</v>
      </c>
      <c r="S44" s="8">
        <f t="shared" si="7"/>
        <v>0</v>
      </c>
      <c r="T44" s="63">
        <f t="shared" si="8"/>
        <v>0</v>
      </c>
      <c r="U44" s="65">
        <f t="shared" si="9"/>
        <v>0</v>
      </c>
      <c r="V44" s="62">
        <v>5372.8</v>
      </c>
      <c r="W44" s="8">
        <f t="shared" si="10"/>
        <v>14.72</v>
      </c>
      <c r="X44" s="8">
        <f t="shared" si="11"/>
        <v>447.73333333333335</v>
      </c>
      <c r="Y44" s="8">
        <v>5372.8</v>
      </c>
      <c r="Z44" s="8">
        <f t="shared" si="12"/>
        <v>14.72</v>
      </c>
      <c r="AA44" s="63">
        <f t="shared" si="13"/>
        <v>447.73333333333335</v>
      </c>
      <c r="AB44" s="65">
        <f t="shared" si="14"/>
        <v>0</v>
      </c>
      <c r="AC44" s="62">
        <v>3281.35</v>
      </c>
      <c r="AD44" s="8">
        <f t="shared" si="15"/>
        <v>8.99</v>
      </c>
      <c r="AE44" s="8">
        <f t="shared" si="16"/>
        <v>273.44583333333333</v>
      </c>
      <c r="AF44" s="8">
        <v>3281.35</v>
      </c>
      <c r="AG44" s="8">
        <f t="shared" si="17"/>
        <v>8.99</v>
      </c>
      <c r="AH44" s="63">
        <f t="shared" si="18"/>
        <v>273.44583333333333</v>
      </c>
      <c r="AI44" s="64">
        <f t="shared" si="19"/>
        <v>0</v>
      </c>
      <c r="AJ44" s="62">
        <v>0</v>
      </c>
      <c r="AK44" s="8">
        <f t="shared" si="20"/>
        <v>0</v>
      </c>
      <c r="AL44" s="8">
        <f t="shared" si="21"/>
        <v>0</v>
      </c>
      <c r="AM44" s="8">
        <v>0</v>
      </c>
      <c r="AN44" s="8">
        <f t="shared" si="22"/>
        <v>0</v>
      </c>
      <c r="AO44" s="63">
        <f t="shared" si="23"/>
        <v>0</v>
      </c>
      <c r="AP44" s="64">
        <f t="shared" si="24"/>
        <v>0</v>
      </c>
      <c r="AQ44" s="66">
        <v>0</v>
      </c>
      <c r="AR44" s="37">
        <f t="shared" si="25"/>
        <v>0</v>
      </c>
      <c r="AS44" s="37">
        <f t="shared" si="26"/>
        <v>0</v>
      </c>
      <c r="AT44" s="37">
        <v>0</v>
      </c>
      <c r="AU44" s="37">
        <f t="shared" si="27"/>
        <v>0</v>
      </c>
      <c r="AV44" s="67">
        <f t="shared" si="28"/>
        <v>0</v>
      </c>
      <c r="AW44" s="64">
        <f t="shared" si="29"/>
        <v>0</v>
      </c>
      <c r="AX44" s="94" t="s">
        <v>482</v>
      </c>
      <c r="AY44" s="95">
        <v>15</v>
      </c>
      <c r="AZ44" s="89" t="s">
        <v>601</v>
      </c>
      <c r="BA44" s="89" t="s">
        <v>469</v>
      </c>
    </row>
    <row r="45" spans="1:53" ht="45">
      <c r="A45" s="7" t="s">
        <v>464</v>
      </c>
      <c r="B45" s="7" t="s">
        <v>602</v>
      </c>
      <c r="C45" s="7" t="s">
        <v>602</v>
      </c>
      <c r="D45" s="6" t="s">
        <v>603</v>
      </c>
      <c r="E45" s="6" t="s">
        <v>15</v>
      </c>
      <c r="F45" s="6" t="s">
        <v>477</v>
      </c>
      <c r="G45" s="61">
        <v>41977</v>
      </c>
      <c r="H45" s="62">
        <v>74.39</v>
      </c>
      <c r="I45" s="8">
        <f t="shared" si="0"/>
        <v>0.2038082191780822</v>
      </c>
      <c r="J45" s="8">
        <f t="shared" si="1"/>
        <v>6.1991666666666667</v>
      </c>
      <c r="K45" s="8">
        <v>49.28</v>
      </c>
      <c r="L45" s="8">
        <f t="shared" si="2"/>
        <v>0.13501369863013699</v>
      </c>
      <c r="M45" s="63">
        <f t="shared" si="3"/>
        <v>4.1066666666666665</v>
      </c>
      <c r="N45" s="64">
        <f t="shared" si="4"/>
        <v>-6.8794520547945215E-2</v>
      </c>
      <c r="O45" s="62">
        <v>0</v>
      </c>
      <c r="P45" s="8">
        <f t="shared" si="5"/>
        <v>0</v>
      </c>
      <c r="Q45" s="8">
        <f t="shared" si="6"/>
        <v>0</v>
      </c>
      <c r="R45" s="8">
        <v>0</v>
      </c>
      <c r="S45" s="8">
        <f t="shared" si="7"/>
        <v>0</v>
      </c>
      <c r="T45" s="63">
        <f t="shared" si="8"/>
        <v>0</v>
      </c>
      <c r="U45" s="65">
        <f t="shared" si="9"/>
        <v>0</v>
      </c>
      <c r="V45" s="62">
        <v>74.39</v>
      </c>
      <c r="W45" s="8">
        <f t="shared" si="10"/>
        <v>0.2038082191780822</v>
      </c>
      <c r="X45" s="8">
        <f t="shared" si="11"/>
        <v>6.1991666666666667</v>
      </c>
      <c r="Y45" s="8">
        <v>49.28</v>
      </c>
      <c r="Z45" s="8">
        <f t="shared" si="12"/>
        <v>0.13501369863013699</v>
      </c>
      <c r="AA45" s="63">
        <f t="shared" si="13"/>
        <v>4.1066666666666665</v>
      </c>
      <c r="AB45" s="65">
        <f t="shared" si="14"/>
        <v>-6.8794520547945215E-2</v>
      </c>
      <c r="AC45" s="62">
        <v>0</v>
      </c>
      <c r="AD45" s="8">
        <f t="shared" si="15"/>
        <v>0</v>
      </c>
      <c r="AE45" s="8">
        <f t="shared" si="16"/>
        <v>0</v>
      </c>
      <c r="AF45" s="8">
        <v>0</v>
      </c>
      <c r="AG45" s="8">
        <f t="shared" si="17"/>
        <v>0</v>
      </c>
      <c r="AH45" s="63">
        <f t="shared" si="18"/>
        <v>0</v>
      </c>
      <c r="AI45" s="64">
        <f t="shared" si="19"/>
        <v>0</v>
      </c>
      <c r="AJ45" s="62">
        <v>0</v>
      </c>
      <c r="AK45" s="8">
        <f t="shared" si="20"/>
        <v>0</v>
      </c>
      <c r="AL45" s="8">
        <f t="shared" si="21"/>
        <v>0</v>
      </c>
      <c r="AM45" s="8">
        <v>0</v>
      </c>
      <c r="AN45" s="8">
        <f t="shared" si="22"/>
        <v>0</v>
      </c>
      <c r="AO45" s="63">
        <f t="shared" si="23"/>
        <v>0</v>
      </c>
      <c r="AP45" s="64">
        <f t="shared" si="24"/>
        <v>0</v>
      </c>
      <c r="AQ45" s="66">
        <v>0</v>
      </c>
      <c r="AR45" s="37">
        <f t="shared" si="25"/>
        <v>0</v>
      </c>
      <c r="AS45" s="37">
        <f t="shared" si="26"/>
        <v>0</v>
      </c>
      <c r="AT45" s="37">
        <v>0</v>
      </c>
      <c r="AU45" s="37">
        <f t="shared" si="27"/>
        <v>0</v>
      </c>
      <c r="AV45" s="67">
        <f t="shared" si="28"/>
        <v>0</v>
      </c>
      <c r="AW45" s="64">
        <f t="shared" si="29"/>
        <v>0</v>
      </c>
      <c r="AX45" s="68">
        <v>20</v>
      </c>
      <c r="AY45" s="69">
        <v>20</v>
      </c>
      <c r="AZ45" s="6" t="s">
        <v>604</v>
      </c>
      <c r="BA45" s="6" t="s">
        <v>469</v>
      </c>
    </row>
    <row r="46" spans="1:53" ht="60">
      <c r="A46" s="130" t="s">
        <v>464</v>
      </c>
      <c r="B46" s="130" t="s">
        <v>605</v>
      </c>
      <c r="C46" s="130" t="s">
        <v>605</v>
      </c>
      <c r="D46" s="131" t="s">
        <v>606</v>
      </c>
      <c r="E46" s="131" t="s">
        <v>597</v>
      </c>
      <c r="F46" s="131" t="s">
        <v>522</v>
      </c>
      <c r="G46" s="132">
        <v>41985</v>
      </c>
      <c r="H46" s="66">
        <v>0</v>
      </c>
      <c r="I46" s="37">
        <f t="shared" si="0"/>
        <v>0</v>
      </c>
      <c r="J46" s="37">
        <f t="shared" si="1"/>
        <v>0</v>
      </c>
      <c r="K46" s="37">
        <v>0</v>
      </c>
      <c r="L46" s="37">
        <f t="shared" si="2"/>
        <v>0</v>
      </c>
      <c r="M46" s="67">
        <f t="shared" si="3"/>
        <v>0</v>
      </c>
      <c r="N46" s="64">
        <f t="shared" si="4"/>
        <v>0</v>
      </c>
      <c r="O46" s="62">
        <v>0</v>
      </c>
      <c r="P46" s="8">
        <f t="shared" si="5"/>
        <v>0</v>
      </c>
      <c r="Q46" s="8">
        <f t="shared" si="6"/>
        <v>0</v>
      </c>
      <c r="R46" s="8">
        <v>0</v>
      </c>
      <c r="S46" s="8">
        <f t="shared" si="7"/>
        <v>0</v>
      </c>
      <c r="T46" s="63">
        <f t="shared" si="8"/>
        <v>0</v>
      </c>
      <c r="U46" s="65">
        <f t="shared" si="9"/>
        <v>0</v>
      </c>
      <c r="V46" s="62">
        <v>0</v>
      </c>
      <c r="W46" s="8">
        <f t="shared" si="10"/>
        <v>0</v>
      </c>
      <c r="X46" s="8">
        <f t="shared" si="11"/>
        <v>0</v>
      </c>
      <c r="Y46" s="8">
        <v>0</v>
      </c>
      <c r="Z46" s="8">
        <f t="shared" si="12"/>
        <v>0</v>
      </c>
      <c r="AA46" s="63">
        <f t="shared" si="13"/>
        <v>0</v>
      </c>
      <c r="AB46" s="65">
        <f t="shared" si="14"/>
        <v>0</v>
      </c>
      <c r="AC46" s="62">
        <v>0</v>
      </c>
      <c r="AD46" s="8">
        <f t="shared" si="15"/>
        <v>0</v>
      </c>
      <c r="AE46" s="8">
        <f t="shared" si="16"/>
        <v>0</v>
      </c>
      <c r="AF46" s="8">
        <v>0</v>
      </c>
      <c r="AG46" s="8">
        <f t="shared" si="17"/>
        <v>0</v>
      </c>
      <c r="AH46" s="63">
        <f t="shared" si="18"/>
        <v>0</v>
      </c>
      <c r="AI46" s="64">
        <f t="shared" si="19"/>
        <v>0</v>
      </c>
      <c r="AJ46" s="62">
        <v>0</v>
      </c>
      <c r="AK46" s="8">
        <f t="shared" si="20"/>
        <v>0</v>
      </c>
      <c r="AL46" s="8">
        <f t="shared" si="21"/>
        <v>0</v>
      </c>
      <c r="AM46" s="8">
        <v>0</v>
      </c>
      <c r="AN46" s="8">
        <f t="shared" si="22"/>
        <v>0</v>
      </c>
      <c r="AO46" s="63">
        <f t="shared" si="23"/>
        <v>0</v>
      </c>
      <c r="AP46" s="64">
        <f t="shared" si="24"/>
        <v>0</v>
      </c>
      <c r="AQ46" s="66">
        <v>0</v>
      </c>
      <c r="AR46" s="37">
        <f t="shared" si="25"/>
        <v>0</v>
      </c>
      <c r="AS46" s="37">
        <f t="shared" si="26"/>
        <v>0</v>
      </c>
      <c r="AT46" s="37">
        <v>0</v>
      </c>
      <c r="AU46" s="37">
        <f t="shared" si="27"/>
        <v>0</v>
      </c>
      <c r="AV46" s="67">
        <f t="shared" si="28"/>
        <v>0</v>
      </c>
      <c r="AW46" s="64">
        <f t="shared" si="29"/>
        <v>0</v>
      </c>
      <c r="AX46" s="133">
        <v>0.25</v>
      </c>
      <c r="AY46" s="134">
        <v>0.25</v>
      </c>
      <c r="AZ46" s="131" t="s">
        <v>607</v>
      </c>
      <c r="BA46" s="131" t="s">
        <v>510</v>
      </c>
    </row>
    <row r="47" spans="1:53" ht="30">
      <c r="A47" s="88" t="s">
        <v>464</v>
      </c>
      <c r="B47" s="88" t="s">
        <v>608</v>
      </c>
      <c r="C47" s="88" t="s">
        <v>608</v>
      </c>
      <c r="D47" s="89" t="s">
        <v>609</v>
      </c>
      <c r="E47" s="89" t="s">
        <v>15</v>
      </c>
      <c r="F47" s="89" t="s">
        <v>467</v>
      </c>
      <c r="G47" s="90">
        <v>42002</v>
      </c>
      <c r="H47" s="62">
        <v>153.34</v>
      </c>
      <c r="I47" s="8">
        <f t="shared" si="0"/>
        <v>0.42010958904109591</v>
      </c>
      <c r="J47" s="8">
        <f t="shared" si="1"/>
        <v>12.778333333333334</v>
      </c>
      <c r="K47" s="8">
        <v>134.66</v>
      </c>
      <c r="L47" s="8">
        <f t="shared" si="2"/>
        <v>0.36893150684931508</v>
      </c>
      <c r="M47" s="63">
        <f t="shared" si="3"/>
        <v>11.221666666666666</v>
      </c>
      <c r="N47" s="64">
        <f t="shared" si="4"/>
        <v>-5.1178082191780827E-2</v>
      </c>
      <c r="O47" s="62">
        <v>0</v>
      </c>
      <c r="P47" s="8">
        <f t="shared" si="5"/>
        <v>0</v>
      </c>
      <c r="Q47" s="8">
        <f t="shared" si="6"/>
        <v>0</v>
      </c>
      <c r="R47" s="8">
        <v>0</v>
      </c>
      <c r="S47" s="8">
        <f t="shared" si="7"/>
        <v>0</v>
      </c>
      <c r="T47" s="63">
        <f t="shared" si="8"/>
        <v>0</v>
      </c>
      <c r="U47" s="65">
        <f t="shared" si="9"/>
        <v>0</v>
      </c>
      <c r="V47" s="62">
        <v>153.34</v>
      </c>
      <c r="W47" s="8">
        <f t="shared" si="10"/>
        <v>0.42010958904109591</v>
      </c>
      <c r="X47" s="8">
        <f t="shared" si="11"/>
        <v>12.778333333333334</v>
      </c>
      <c r="Y47" s="8">
        <v>134.66</v>
      </c>
      <c r="Z47" s="8">
        <f t="shared" si="12"/>
        <v>0.36893150684931508</v>
      </c>
      <c r="AA47" s="63">
        <f t="shared" si="13"/>
        <v>11.221666666666666</v>
      </c>
      <c r="AB47" s="65">
        <f t="shared" si="14"/>
        <v>-5.1178082191780827E-2</v>
      </c>
      <c r="AC47" s="62">
        <v>0</v>
      </c>
      <c r="AD47" s="8">
        <f t="shared" si="15"/>
        <v>0</v>
      </c>
      <c r="AE47" s="8">
        <f t="shared" si="16"/>
        <v>0</v>
      </c>
      <c r="AF47" s="8">
        <v>0</v>
      </c>
      <c r="AG47" s="8">
        <f t="shared" si="17"/>
        <v>0</v>
      </c>
      <c r="AH47" s="63">
        <f t="shared" si="18"/>
        <v>0</v>
      </c>
      <c r="AI47" s="64">
        <f t="shared" si="19"/>
        <v>0</v>
      </c>
      <c r="AJ47" s="62">
        <v>0</v>
      </c>
      <c r="AK47" s="8">
        <f t="shared" si="20"/>
        <v>0</v>
      </c>
      <c r="AL47" s="8">
        <f t="shared" si="21"/>
        <v>0</v>
      </c>
      <c r="AM47" s="8">
        <v>0</v>
      </c>
      <c r="AN47" s="8">
        <f t="shared" si="22"/>
        <v>0</v>
      </c>
      <c r="AO47" s="63">
        <f t="shared" si="23"/>
        <v>0</v>
      </c>
      <c r="AP47" s="64">
        <f t="shared" si="24"/>
        <v>0</v>
      </c>
      <c r="AQ47" s="66">
        <v>0</v>
      </c>
      <c r="AR47" s="37">
        <f t="shared" si="25"/>
        <v>0</v>
      </c>
      <c r="AS47" s="37">
        <f t="shared" si="26"/>
        <v>0</v>
      </c>
      <c r="AT47" s="37">
        <v>0</v>
      </c>
      <c r="AU47" s="37">
        <f t="shared" si="27"/>
        <v>0</v>
      </c>
      <c r="AV47" s="67">
        <f t="shared" si="28"/>
        <v>0</v>
      </c>
      <c r="AW47" s="64">
        <f t="shared" si="29"/>
        <v>0</v>
      </c>
      <c r="AX47" s="94">
        <v>20</v>
      </c>
      <c r="AY47" s="95">
        <v>10</v>
      </c>
      <c r="AZ47" s="89" t="s">
        <v>610</v>
      </c>
      <c r="BA47" s="89" t="s">
        <v>469</v>
      </c>
    </row>
    <row r="48" spans="1:53" ht="45">
      <c r="A48" s="7" t="s">
        <v>464</v>
      </c>
      <c r="B48" s="7" t="s">
        <v>611</v>
      </c>
      <c r="C48" s="7" t="s">
        <v>611</v>
      </c>
      <c r="D48" s="6" t="s">
        <v>612</v>
      </c>
      <c r="E48" s="6" t="s">
        <v>489</v>
      </c>
      <c r="F48" s="6" t="s">
        <v>522</v>
      </c>
      <c r="G48" s="71">
        <v>42024</v>
      </c>
      <c r="H48" s="62">
        <v>725</v>
      </c>
      <c r="I48" s="8">
        <f t="shared" si="0"/>
        <v>1.9863013698630136</v>
      </c>
      <c r="J48" s="8">
        <f t="shared" si="1"/>
        <v>60.416666666666664</v>
      </c>
      <c r="K48" s="8">
        <v>0</v>
      </c>
      <c r="L48" s="8">
        <f t="shared" si="2"/>
        <v>0</v>
      </c>
      <c r="M48" s="63">
        <f t="shared" si="3"/>
        <v>0</v>
      </c>
      <c r="N48" s="64">
        <f t="shared" si="4"/>
        <v>-1.9863013698630136</v>
      </c>
      <c r="O48" s="62">
        <v>0</v>
      </c>
      <c r="P48" s="8">
        <f t="shared" si="5"/>
        <v>0</v>
      </c>
      <c r="Q48" s="8">
        <f t="shared" si="6"/>
        <v>0</v>
      </c>
      <c r="R48" s="8">
        <v>0</v>
      </c>
      <c r="S48" s="8">
        <f t="shared" si="7"/>
        <v>0</v>
      </c>
      <c r="T48" s="63">
        <f t="shared" si="8"/>
        <v>0</v>
      </c>
      <c r="U48" s="65">
        <f t="shared" si="9"/>
        <v>0</v>
      </c>
      <c r="V48" s="62">
        <v>725</v>
      </c>
      <c r="W48" s="8">
        <f t="shared" si="10"/>
        <v>1.9863013698630136</v>
      </c>
      <c r="X48" s="8">
        <f t="shared" si="11"/>
        <v>60.416666666666664</v>
      </c>
      <c r="Y48" s="8">
        <v>0</v>
      </c>
      <c r="Z48" s="8">
        <f t="shared" si="12"/>
        <v>0</v>
      </c>
      <c r="AA48" s="63">
        <f t="shared" si="13"/>
        <v>0</v>
      </c>
      <c r="AB48" s="65">
        <f t="shared" si="14"/>
        <v>-1.9863013698630136</v>
      </c>
      <c r="AC48" s="62">
        <v>0</v>
      </c>
      <c r="AD48" s="8">
        <f t="shared" si="15"/>
        <v>0</v>
      </c>
      <c r="AE48" s="8">
        <f t="shared" si="16"/>
        <v>0</v>
      </c>
      <c r="AF48" s="8">
        <v>0</v>
      </c>
      <c r="AG48" s="8">
        <f t="shared" si="17"/>
        <v>0</v>
      </c>
      <c r="AH48" s="63">
        <f t="shared" si="18"/>
        <v>0</v>
      </c>
      <c r="AI48" s="64">
        <f t="shared" si="19"/>
        <v>0</v>
      </c>
      <c r="AJ48" s="62">
        <v>0</v>
      </c>
      <c r="AK48" s="8">
        <f t="shared" si="20"/>
        <v>0</v>
      </c>
      <c r="AL48" s="8">
        <f t="shared" si="21"/>
        <v>0</v>
      </c>
      <c r="AM48" s="8">
        <v>0</v>
      </c>
      <c r="AN48" s="8">
        <f t="shared" si="22"/>
        <v>0</v>
      </c>
      <c r="AO48" s="63">
        <f t="shared" si="23"/>
        <v>0</v>
      </c>
      <c r="AP48" s="64">
        <f t="shared" si="24"/>
        <v>0</v>
      </c>
      <c r="AQ48" s="66">
        <v>0</v>
      </c>
      <c r="AR48" s="37">
        <f t="shared" si="25"/>
        <v>0</v>
      </c>
      <c r="AS48" s="37">
        <f t="shared" si="26"/>
        <v>0</v>
      </c>
      <c r="AT48" s="37">
        <v>0</v>
      </c>
      <c r="AU48" s="37">
        <f t="shared" si="27"/>
        <v>0</v>
      </c>
      <c r="AV48" s="67">
        <f t="shared" si="28"/>
        <v>0</v>
      </c>
      <c r="AW48" s="64">
        <f t="shared" si="29"/>
        <v>0</v>
      </c>
      <c r="AX48" s="68"/>
      <c r="AY48" s="69" t="s">
        <v>613</v>
      </c>
      <c r="AZ48" s="87" t="s">
        <v>614</v>
      </c>
      <c r="BA48" s="73" t="s">
        <v>563</v>
      </c>
    </row>
    <row r="49" spans="1:53" ht="120">
      <c r="A49" s="7" t="s">
        <v>464</v>
      </c>
      <c r="B49" s="7" t="s">
        <v>615</v>
      </c>
      <c r="C49" s="7" t="s">
        <v>615</v>
      </c>
      <c r="D49" s="77" t="s">
        <v>616</v>
      </c>
      <c r="E49" s="6" t="s">
        <v>472</v>
      </c>
      <c r="F49" s="6" t="s">
        <v>477</v>
      </c>
      <c r="G49" s="71">
        <v>42047</v>
      </c>
      <c r="H49" s="62">
        <v>443.84</v>
      </c>
      <c r="I49" s="8">
        <f t="shared" si="0"/>
        <v>1.216</v>
      </c>
      <c r="J49" s="8">
        <f t="shared" si="1"/>
        <v>36.986666666666665</v>
      </c>
      <c r="K49" s="8">
        <v>365</v>
      </c>
      <c r="L49" s="8">
        <f t="shared" si="2"/>
        <v>1</v>
      </c>
      <c r="M49" s="63">
        <f t="shared" si="3"/>
        <v>30.416666666666668</v>
      </c>
      <c r="N49" s="64">
        <f t="shared" si="4"/>
        <v>-0.21599999999999997</v>
      </c>
      <c r="O49" s="62">
        <v>0</v>
      </c>
      <c r="P49" s="8">
        <f t="shared" si="5"/>
        <v>0</v>
      </c>
      <c r="Q49" s="8">
        <f t="shared" si="6"/>
        <v>0</v>
      </c>
      <c r="R49" s="8">
        <v>0</v>
      </c>
      <c r="S49" s="8">
        <f t="shared" si="7"/>
        <v>0</v>
      </c>
      <c r="T49" s="63">
        <f t="shared" si="8"/>
        <v>0</v>
      </c>
      <c r="U49" s="65">
        <f t="shared" si="9"/>
        <v>0</v>
      </c>
      <c r="V49" s="62">
        <f>443.84*0.7</f>
        <v>310.68799999999999</v>
      </c>
      <c r="W49" s="8">
        <f t="shared" si="10"/>
        <v>0.85119999999999996</v>
      </c>
      <c r="X49" s="8">
        <f t="shared" si="11"/>
        <v>25.890666666666664</v>
      </c>
      <c r="Y49" s="8">
        <v>255.5</v>
      </c>
      <c r="Z49" s="8">
        <f t="shared" si="12"/>
        <v>0.7</v>
      </c>
      <c r="AA49" s="63">
        <f t="shared" si="13"/>
        <v>21.291666666666668</v>
      </c>
      <c r="AB49" s="65">
        <f t="shared" si="14"/>
        <v>-0.1512</v>
      </c>
      <c r="AC49" s="62">
        <f>443.84*0.3</f>
        <v>133.15199999999999</v>
      </c>
      <c r="AD49" s="8">
        <f t="shared" si="15"/>
        <v>0.36479999999999996</v>
      </c>
      <c r="AE49" s="8">
        <f t="shared" si="16"/>
        <v>11.095999999999998</v>
      </c>
      <c r="AF49" s="8">
        <f>365-255.5</f>
        <v>109.5</v>
      </c>
      <c r="AG49" s="8">
        <f t="shared" si="17"/>
        <v>0.3</v>
      </c>
      <c r="AH49" s="63">
        <f t="shared" si="18"/>
        <v>9.125</v>
      </c>
      <c r="AI49" s="64">
        <f t="shared" si="19"/>
        <v>-6.4799999999999969E-2</v>
      </c>
      <c r="AJ49" s="62">
        <v>0</v>
      </c>
      <c r="AK49" s="8">
        <f t="shared" si="20"/>
        <v>0</v>
      </c>
      <c r="AL49" s="8">
        <f t="shared" si="21"/>
        <v>0</v>
      </c>
      <c r="AM49" s="8">
        <v>0</v>
      </c>
      <c r="AN49" s="8">
        <f t="shared" si="22"/>
        <v>0</v>
      </c>
      <c r="AO49" s="63">
        <f t="shared" si="23"/>
        <v>0</v>
      </c>
      <c r="AP49" s="64">
        <f t="shared" si="24"/>
        <v>0</v>
      </c>
      <c r="AQ49" s="66">
        <v>0</v>
      </c>
      <c r="AR49" s="37">
        <f t="shared" si="25"/>
        <v>0</v>
      </c>
      <c r="AS49" s="37">
        <f t="shared" si="26"/>
        <v>0</v>
      </c>
      <c r="AT49" s="37">
        <v>0</v>
      </c>
      <c r="AU49" s="37">
        <f t="shared" si="27"/>
        <v>0</v>
      </c>
      <c r="AV49" s="67">
        <f t="shared" si="28"/>
        <v>0</v>
      </c>
      <c r="AW49" s="64">
        <f t="shared" si="29"/>
        <v>0</v>
      </c>
      <c r="AX49" s="68">
        <v>20</v>
      </c>
      <c r="AY49" s="69">
        <v>20</v>
      </c>
      <c r="AZ49" s="6" t="s">
        <v>617</v>
      </c>
      <c r="BA49" s="6" t="s">
        <v>469</v>
      </c>
    </row>
    <row r="50" spans="1:53" ht="60">
      <c r="A50" s="7" t="s">
        <v>464</v>
      </c>
      <c r="B50" s="7" t="s">
        <v>618</v>
      </c>
      <c r="C50" s="7" t="s">
        <v>618</v>
      </c>
      <c r="D50" s="73" t="s">
        <v>619</v>
      </c>
      <c r="E50" s="6" t="s">
        <v>472</v>
      </c>
      <c r="F50" s="6" t="s">
        <v>477</v>
      </c>
      <c r="G50" s="71">
        <v>42047</v>
      </c>
      <c r="H50" s="62">
        <v>20331.5</v>
      </c>
      <c r="I50" s="8">
        <f t="shared" si="0"/>
        <v>55.702739726027396</v>
      </c>
      <c r="J50" s="8">
        <f t="shared" si="1"/>
        <v>1694.2916666666667</v>
      </c>
      <c r="K50" s="8">
        <v>20331.5</v>
      </c>
      <c r="L50" s="8">
        <f t="shared" si="2"/>
        <v>55.702739726027396</v>
      </c>
      <c r="M50" s="63">
        <f t="shared" si="3"/>
        <v>1694.2916666666667</v>
      </c>
      <c r="N50" s="64">
        <f t="shared" si="4"/>
        <v>0</v>
      </c>
      <c r="O50" s="62">
        <v>0</v>
      </c>
      <c r="P50" s="8">
        <f t="shared" si="5"/>
        <v>0</v>
      </c>
      <c r="Q50" s="8">
        <f t="shared" si="6"/>
        <v>0</v>
      </c>
      <c r="R50" s="8">
        <v>0</v>
      </c>
      <c r="S50" s="8">
        <f t="shared" si="7"/>
        <v>0</v>
      </c>
      <c r="T50" s="63">
        <f t="shared" si="8"/>
        <v>0</v>
      </c>
      <c r="U50" s="65">
        <f t="shared" si="9"/>
        <v>0</v>
      </c>
      <c r="V50" s="62">
        <v>13498.1</v>
      </c>
      <c r="W50" s="8">
        <f t="shared" si="10"/>
        <v>36.981095890410963</v>
      </c>
      <c r="X50" s="8">
        <f t="shared" si="11"/>
        <v>1124.8416666666667</v>
      </c>
      <c r="Y50" s="8">
        <v>12398.56</v>
      </c>
      <c r="Z50" s="8">
        <f t="shared" si="12"/>
        <v>33.968657534246574</v>
      </c>
      <c r="AA50" s="63">
        <f t="shared" si="13"/>
        <v>1033.2133333333334</v>
      </c>
      <c r="AB50" s="65">
        <f t="shared" si="14"/>
        <v>-3.0124383561643882</v>
      </c>
      <c r="AC50" s="62">
        <v>6833.4</v>
      </c>
      <c r="AD50" s="8">
        <f t="shared" si="15"/>
        <v>18.721643835616437</v>
      </c>
      <c r="AE50" s="8">
        <f t="shared" si="16"/>
        <v>569.44999999999993</v>
      </c>
      <c r="AF50" s="8">
        <v>7932.94</v>
      </c>
      <c r="AG50" s="8">
        <f t="shared" si="17"/>
        <v>21.734082191780821</v>
      </c>
      <c r="AH50" s="63">
        <f t="shared" si="18"/>
        <v>661.07833333333326</v>
      </c>
      <c r="AI50" s="64">
        <f t="shared" si="19"/>
        <v>3.0124383561643846</v>
      </c>
      <c r="AJ50" s="62">
        <v>0</v>
      </c>
      <c r="AK50" s="8">
        <f t="shared" si="20"/>
        <v>0</v>
      </c>
      <c r="AL50" s="8">
        <f t="shared" si="21"/>
        <v>0</v>
      </c>
      <c r="AM50" s="8">
        <v>0</v>
      </c>
      <c r="AN50" s="8">
        <f t="shared" si="22"/>
        <v>0</v>
      </c>
      <c r="AO50" s="63">
        <f t="shared" si="23"/>
        <v>0</v>
      </c>
      <c r="AP50" s="64">
        <f t="shared" si="24"/>
        <v>0</v>
      </c>
      <c r="AQ50" s="66">
        <v>0</v>
      </c>
      <c r="AR50" s="37">
        <f t="shared" si="25"/>
        <v>0</v>
      </c>
      <c r="AS50" s="37">
        <f t="shared" si="26"/>
        <v>0</v>
      </c>
      <c r="AT50" s="37">
        <v>0</v>
      </c>
      <c r="AU50" s="37">
        <f t="shared" si="27"/>
        <v>0</v>
      </c>
      <c r="AV50" s="67">
        <f t="shared" si="28"/>
        <v>0</v>
      </c>
      <c r="AW50" s="64">
        <f t="shared" si="29"/>
        <v>0</v>
      </c>
      <c r="AX50" s="68">
        <v>10</v>
      </c>
      <c r="AY50" s="69">
        <v>10</v>
      </c>
      <c r="AZ50" s="6" t="s">
        <v>620</v>
      </c>
      <c r="BA50" s="6" t="s">
        <v>469</v>
      </c>
    </row>
    <row r="51" spans="1:53" ht="30">
      <c r="A51" s="7" t="s">
        <v>464</v>
      </c>
      <c r="B51" s="7" t="s">
        <v>621</v>
      </c>
      <c r="C51" s="7" t="s">
        <v>621</v>
      </c>
      <c r="D51" s="6" t="s">
        <v>582</v>
      </c>
      <c r="E51" s="6" t="s">
        <v>15</v>
      </c>
      <c r="F51" s="6" t="s">
        <v>514</v>
      </c>
      <c r="G51" s="71">
        <v>42051</v>
      </c>
      <c r="H51" s="62">
        <v>44.24</v>
      </c>
      <c r="I51" s="8">
        <f t="shared" si="0"/>
        <v>0.1212054794520548</v>
      </c>
      <c r="J51" s="8">
        <f t="shared" si="1"/>
        <v>3.686666666666667</v>
      </c>
      <c r="K51" s="8">
        <v>44.24</v>
      </c>
      <c r="L51" s="8">
        <f t="shared" si="2"/>
        <v>0.1212054794520548</v>
      </c>
      <c r="M51" s="63">
        <f t="shared" si="3"/>
        <v>3.686666666666667</v>
      </c>
      <c r="N51" s="64">
        <f t="shared" si="4"/>
        <v>0</v>
      </c>
      <c r="O51" s="62">
        <v>0</v>
      </c>
      <c r="P51" s="8">
        <f t="shared" si="5"/>
        <v>0</v>
      </c>
      <c r="Q51" s="8">
        <f t="shared" si="6"/>
        <v>0</v>
      </c>
      <c r="R51" s="8">
        <v>0</v>
      </c>
      <c r="S51" s="8">
        <f t="shared" si="7"/>
        <v>0</v>
      </c>
      <c r="T51" s="63">
        <f t="shared" si="8"/>
        <v>0</v>
      </c>
      <c r="U51" s="65">
        <f t="shared" si="9"/>
        <v>0</v>
      </c>
      <c r="V51" s="62">
        <v>44.24</v>
      </c>
      <c r="W51" s="8">
        <f t="shared" si="10"/>
        <v>0.1212054794520548</v>
      </c>
      <c r="X51" s="8">
        <f t="shared" si="11"/>
        <v>3.686666666666667</v>
      </c>
      <c r="Y51" s="8">
        <v>44.24</v>
      </c>
      <c r="Z51" s="8">
        <f t="shared" si="12"/>
        <v>0.1212054794520548</v>
      </c>
      <c r="AA51" s="63">
        <f t="shared" si="13"/>
        <v>3.686666666666667</v>
      </c>
      <c r="AB51" s="65">
        <f t="shared" si="14"/>
        <v>0</v>
      </c>
      <c r="AC51" s="62">
        <v>0</v>
      </c>
      <c r="AD51" s="8">
        <f t="shared" si="15"/>
        <v>0</v>
      </c>
      <c r="AE51" s="8">
        <f t="shared" si="16"/>
        <v>0</v>
      </c>
      <c r="AF51" s="8">
        <v>0</v>
      </c>
      <c r="AG51" s="8">
        <f t="shared" si="17"/>
        <v>0</v>
      </c>
      <c r="AH51" s="63">
        <f t="shared" si="18"/>
        <v>0</v>
      </c>
      <c r="AI51" s="64">
        <f t="shared" si="19"/>
        <v>0</v>
      </c>
      <c r="AJ51" s="62">
        <v>0</v>
      </c>
      <c r="AK51" s="8">
        <f t="shared" si="20"/>
        <v>0</v>
      </c>
      <c r="AL51" s="8">
        <f t="shared" si="21"/>
        <v>0</v>
      </c>
      <c r="AM51" s="8">
        <v>0</v>
      </c>
      <c r="AN51" s="8">
        <f t="shared" si="22"/>
        <v>0</v>
      </c>
      <c r="AO51" s="63">
        <f t="shared" si="23"/>
        <v>0</v>
      </c>
      <c r="AP51" s="64">
        <f t="shared" si="24"/>
        <v>0</v>
      </c>
      <c r="AQ51" s="66">
        <v>0</v>
      </c>
      <c r="AR51" s="37">
        <f t="shared" si="25"/>
        <v>0</v>
      </c>
      <c r="AS51" s="37">
        <f t="shared" si="26"/>
        <v>0</v>
      </c>
      <c r="AT51" s="37">
        <v>0</v>
      </c>
      <c r="AU51" s="37">
        <f t="shared" si="27"/>
        <v>0</v>
      </c>
      <c r="AV51" s="67">
        <f t="shared" si="28"/>
        <v>0</v>
      </c>
      <c r="AW51" s="64">
        <f t="shared" si="29"/>
        <v>0</v>
      </c>
      <c r="AX51" s="68" t="s">
        <v>482</v>
      </c>
      <c r="AY51" s="69">
        <v>6</v>
      </c>
      <c r="AZ51" s="6" t="s">
        <v>622</v>
      </c>
      <c r="BA51" s="6" t="s">
        <v>469</v>
      </c>
    </row>
    <row r="52" spans="1:53" ht="45">
      <c r="A52" s="7" t="s">
        <v>464</v>
      </c>
      <c r="B52" s="7" t="s">
        <v>623</v>
      </c>
      <c r="C52" s="7" t="s">
        <v>623</v>
      </c>
      <c r="D52" s="73" t="s">
        <v>600</v>
      </c>
      <c r="E52" s="6" t="s">
        <v>472</v>
      </c>
      <c r="F52" s="6" t="s">
        <v>477</v>
      </c>
      <c r="G52" s="71">
        <v>42051</v>
      </c>
      <c r="H52" s="62">
        <v>8654.15</v>
      </c>
      <c r="I52" s="8">
        <f t="shared" si="0"/>
        <v>23.709999999999997</v>
      </c>
      <c r="J52" s="8">
        <f t="shared" si="1"/>
        <v>721.17916666666667</v>
      </c>
      <c r="K52" s="8">
        <v>8654.15</v>
      </c>
      <c r="L52" s="8">
        <f t="shared" si="2"/>
        <v>23.709999999999997</v>
      </c>
      <c r="M52" s="63">
        <f t="shared" si="3"/>
        <v>721.17916666666667</v>
      </c>
      <c r="N52" s="64">
        <f t="shared" si="4"/>
        <v>0</v>
      </c>
      <c r="O52" s="62">
        <v>0</v>
      </c>
      <c r="P52" s="8">
        <f t="shared" si="5"/>
        <v>0</v>
      </c>
      <c r="Q52" s="8">
        <f t="shared" si="6"/>
        <v>0</v>
      </c>
      <c r="R52" s="8">
        <v>0</v>
      </c>
      <c r="S52" s="8">
        <f t="shared" si="7"/>
        <v>0</v>
      </c>
      <c r="T52" s="63">
        <f t="shared" si="8"/>
        <v>0</v>
      </c>
      <c r="U52" s="65">
        <f t="shared" si="9"/>
        <v>0</v>
      </c>
      <c r="V52" s="62">
        <v>5372.8</v>
      </c>
      <c r="W52" s="8">
        <f t="shared" si="10"/>
        <v>14.72</v>
      </c>
      <c r="X52" s="8">
        <f t="shared" si="11"/>
        <v>447.73333333333335</v>
      </c>
      <c r="Y52" s="8">
        <v>5372.8</v>
      </c>
      <c r="Z52" s="8">
        <f t="shared" si="12"/>
        <v>14.72</v>
      </c>
      <c r="AA52" s="63">
        <f t="shared" si="13"/>
        <v>447.73333333333335</v>
      </c>
      <c r="AB52" s="65">
        <f t="shared" si="14"/>
        <v>0</v>
      </c>
      <c r="AC52" s="62">
        <v>3281.35</v>
      </c>
      <c r="AD52" s="8">
        <f t="shared" si="15"/>
        <v>8.99</v>
      </c>
      <c r="AE52" s="8">
        <f t="shared" si="16"/>
        <v>273.44583333333333</v>
      </c>
      <c r="AF52" s="8">
        <v>3281.35</v>
      </c>
      <c r="AG52" s="8">
        <f t="shared" si="17"/>
        <v>8.99</v>
      </c>
      <c r="AH52" s="63">
        <f t="shared" si="18"/>
        <v>273.44583333333333</v>
      </c>
      <c r="AI52" s="64">
        <f t="shared" si="19"/>
        <v>0</v>
      </c>
      <c r="AJ52" s="62">
        <v>0</v>
      </c>
      <c r="AK52" s="8">
        <f t="shared" si="20"/>
        <v>0</v>
      </c>
      <c r="AL52" s="8">
        <f t="shared" si="21"/>
        <v>0</v>
      </c>
      <c r="AM52" s="8">
        <v>0</v>
      </c>
      <c r="AN52" s="8">
        <f t="shared" si="22"/>
        <v>0</v>
      </c>
      <c r="AO52" s="63">
        <f t="shared" si="23"/>
        <v>0</v>
      </c>
      <c r="AP52" s="64">
        <f t="shared" si="24"/>
        <v>0</v>
      </c>
      <c r="AQ52" s="66">
        <v>0</v>
      </c>
      <c r="AR52" s="37">
        <f t="shared" si="25"/>
        <v>0</v>
      </c>
      <c r="AS52" s="37">
        <f t="shared" si="26"/>
        <v>0</v>
      </c>
      <c r="AT52" s="37">
        <v>0</v>
      </c>
      <c r="AU52" s="37">
        <f t="shared" si="27"/>
        <v>0</v>
      </c>
      <c r="AV52" s="67">
        <f t="shared" si="28"/>
        <v>0</v>
      </c>
      <c r="AW52" s="64">
        <f t="shared" si="29"/>
        <v>0</v>
      </c>
      <c r="AX52" s="68" t="s">
        <v>482</v>
      </c>
      <c r="AY52" s="69">
        <v>14</v>
      </c>
      <c r="AZ52" s="6" t="s">
        <v>601</v>
      </c>
      <c r="BA52" s="6" t="s">
        <v>469</v>
      </c>
    </row>
    <row r="53" spans="1:53" ht="30">
      <c r="A53" s="7" t="s">
        <v>464</v>
      </c>
      <c r="B53" s="7" t="s">
        <v>624</v>
      </c>
      <c r="C53" s="7" t="s">
        <v>624</v>
      </c>
      <c r="D53" s="6" t="s">
        <v>625</v>
      </c>
      <c r="E53" s="6" t="s">
        <v>15</v>
      </c>
      <c r="F53" s="6" t="s">
        <v>477</v>
      </c>
      <c r="G53" s="71">
        <v>42055</v>
      </c>
      <c r="H53" s="62">
        <v>5.0199999999999996</v>
      </c>
      <c r="I53" s="8">
        <f t="shared" si="0"/>
        <v>1.3753424657534246E-2</v>
      </c>
      <c r="J53" s="8">
        <f t="shared" si="1"/>
        <v>0.41833333333333328</v>
      </c>
      <c r="K53" s="8">
        <v>4.5</v>
      </c>
      <c r="L53" s="8">
        <f t="shared" si="2"/>
        <v>1.2328767123287671E-2</v>
      </c>
      <c r="M53" s="63">
        <f t="shared" si="3"/>
        <v>0.375</v>
      </c>
      <c r="N53" s="64">
        <f t="shared" si="4"/>
        <v>-1.4246575342465751E-3</v>
      </c>
      <c r="O53" s="62">
        <v>0</v>
      </c>
      <c r="P53" s="8">
        <f t="shared" si="5"/>
        <v>0</v>
      </c>
      <c r="Q53" s="8">
        <f t="shared" si="6"/>
        <v>0</v>
      </c>
      <c r="R53" s="8">
        <v>0</v>
      </c>
      <c r="S53" s="8">
        <f t="shared" si="7"/>
        <v>0</v>
      </c>
      <c r="T53" s="63">
        <f t="shared" si="8"/>
        <v>0</v>
      </c>
      <c r="U53" s="65">
        <f t="shared" si="9"/>
        <v>0</v>
      </c>
      <c r="V53" s="62">
        <v>5.0199999999999996</v>
      </c>
      <c r="W53" s="8">
        <f t="shared" si="10"/>
        <v>1.3753424657534246E-2</v>
      </c>
      <c r="X53" s="8">
        <f t="shared" si="11"/>
        <v>0.41833333333333328</v>
      </c>
      <c r="Y53" s="8">
        <v>4.5</v>
      </c>
      <c r="Z53" s="8">
        <f t="shared" si="12"/>
        <v>1.2328767123287671E-2</v>
      </c>
      <c r="AA53" s="63">
        <f t="shared" si="13"/>
        <v>0.375</v>
      </c>
      <c r="AB53" s="65">
        <f t="shared" si="14"/>
        <v>-1.4246575342465751E-3</v>
      </c>
      <c r="AC53" s="62">
        <v>0</v>
      </c>
      <c r="AD53" s="8">
        <f t="shared" si="15"/>
        <v>0</v>
      </c>
      <c r="AE53" s="8">
        <f t="shared" si="16"/>
        <v>0</v>
      </c>
      <c r="AF53" s="8">
        <v>0</v>
      </c>
      <c r="AG53" s="8">
        <f t="shared" si="17"/>
        <v>0</v>
      </c>
      <c r="AH53" s="63">
        <f t="shared" si="18"/>
        <v>0</v>
      </c>
      <c r="AI53" s="64">
        <f t="shared" si="19"/>
        <v>0</v>
      </c>
      <c r="AJ53" s="62">
        <v>0</v>
      </c>
      <c r="AK53" s="8">
        <f t="shared" si="20"/>
        <v>0</v>
      </c>
      <c r="AL53" s="8">
        <f t="shared" si="21"/>
        <v>0</v>
      </c>
      <c r="AM53" s="8">
        <v>0</v>
      </c>
      <c r="AN53" s="8">
        <f t="shared" si="22"/>
        <v>0</v>
      </c>
      <c r="AO53" s="63">
        <f t="shared" si="23"/>
        <v>0</v>
      </c>
      <c r="AP53" s="64">
        <f t="shared" si="24"/>
        <v>0</v>
      </c>
      <c r="AQ53" s="66">
        <v>0</v>
      </c>
      <c r="AR53" s="37">
        <f t="shared" si="25"/>
        <v>0</v>
      </c>
      <c r="AS53" s="37">
        <f t="shared" si="26"/>
        <v>0</v>
      </c>
      <c r="AT53" s="37">
        <v>0</v>
      </c>
      <c r="AU53" s="37">
        <f t="shared" si="27"/>
        <v>0</v>
      </c>
      <c r="AV53" s="67">
        <f t="shared" si="28"/>
        <v>0</v>
      </c>
      <c r="AW53" s="64">
        <f t="shared" si="29"/>
        <v>0</v>
      </c>
      <c r="AX53" s="68">
        <v>20</v>
      </c>
      <c r="AY53" s="69">
        <v>20</v>
      </c>
      <c r="AZ53" s="6"/>
      <c r="BA53" s="6" t="s">
        <v>469</v>
      </c>
    </row>
    <row r="54" spans="1:53">
      <c r="A54" s="7" t="s">
        <v>464</v>
      </c>
      <c r="B54" s="7" t="s">
        <v>626</v>
      </c>
      <c r="C54" s="7" t="s">
        <v>626</v>
      </c>
      <c r="D54" s="6" t="s">
        <v>627</v>
      </c>
      <c r="E54" s="6" t="s">
        <v>15</v>
      </c>
      <c r="F54" s="6" t="s">
        <v>467</v>
      </c>
      <c r="G54" s="71">
        <v>42061</v>
      </c>
      <c r="H54" s="62">
        <v>0</v>
      </c>
      <c r="I54" s="8">
        <f t="shared" si="0"/>
        <v>0</v>
      </c>
      <c r="J54" s="8">
        <f t="shared" si="1"/>
        <v>0</v>
      </c>
      <c r="K54" s="8">
        <v>2.69</v>
      </c>
      <c r="L54" s="8">
        <f t="shared" si="2"/>
        <v>7.3698630136986298E-3</v>
      </c>
      <c r="M54" s="63">
        <f t="shared" si="3"/>
        <v>0.22416666666666665</v>
      </c>
      <c r="N54" s="64">
        <f t="shared" si="4"/>
        <v>7.3698630136986298E-3</v>
      </c>
      <c r="O54" s="62">
        <v>0</v>
      </c>
      <c r="P54" s="8">
        <f t="shared" si="5"/>
        <v>0</v>
      </c>
      <c r="Q54" s="8">
        <f t="shared" si="6"/>
        <v>0</v>
      </c>
      <c r="R54" s="8">
        <v>0</v>
      </c>
      <c r="S54" s="8">
        <f t="shared" si="7"/>
        <v>0</v>
      </c>
      <c r="T54" s="63">
        <f t="shared" si="8"/>
        <v>0</v>
      </c>
      <c r="U54" s="65">
        <f t="shared" si="9"/>
        <v>0</v>
      </c>
      <c r="V54" s="62">
        <v>0</v>
      </c>
      <c r="W54" s="8">
        <f t="shared" si="10"/>
        <v>0</v>
      </c>
      <c r="X54" s="8">
        <f t="shared" si="11"/>
        <v>0</v>
      </c>
      <c r="Y54" s="8">
        <v>2.69</v>
      </c>
      <c r="Z54" s="8">
        <f t="shared" si="12"/>
        <v>7.3698630136986298E-3</v>
      </c>
      <c r="AA54" s="63">
        <f t="shared" si="13"/>
        <v>0.22416666666666665</v>
      </c>
      <c r="AB54" s="65">
        <f t="shared" si="14"/>
        <v>7.3698630136986298E-3</v>
      </c>
      <c r="AC54" s="62">
        <v>0</v>
      </c>
      <c r="AD54" s="8">
        <f t="shared" si="15"/>
        <v>0</v>
      </c>
      <c r="AE54" s="8">
        <f t="shared" si="16"/>
        <v>0</v>
      </c>
      <c r="AF54" s="8">
        <v>0</v>
      </c>
      <c r="AG54" s="8">
        <f t="shared" si="17"/>
        <v>0</v>
      </c>
      <c r="AH54" s="63">
        <f t="shared" si="18"/>
        <v>0</v>
      </c>
      <c r="AI54" s="64">
        <f t="shared" si="19"/>
        <v>0</v>
      </c>
      <c r="AJ54" s="62">
        <v>0</v>
      </c>
      <c r="AK54" s="8">
        <f t="shared" si="20"/>
        <v>0</v>
      </c>
      <c r="AL54" s="8">
        <f t="shared" si="21"/>
        <v>0</v>
      </c>
      <c r="AM54" s="8">
        <v>0</v>
      </c>
      <c r="AN54" s="8">
        <f t="shared" si="22"/>
        <v>0</v>
      </c>
      <c r="AO54" s="63">
        <f t="shared" si="23"/>
        <v>0</v>
      </c>
      <c r="AP54" s="64">
        <f t="shared" si="24"/>
        <v>0</v>
      </c>
      <c r="AQ54" s="66">
        <v>0</v>
      </c>
      <c r="AR54" s="37">
        <f t="shared" si="25"/>
        <v>0</v>
      </c>
      <c r="AS54" s="37">
        <f t="shared" si="26"/>
        <v>0</v>
      </c>
      <c r="AT54" s="37">
        <v>0</v>
      </c>
      <c r="AU54" s="37">
        <f t="shared" si="27"/>
        <v>0</v>
      </c>
      <c r="AV54" s="67">
        <f t="shared" si="28"/>
        <v>0</v>
      </c>
      <c r="AW54" s="64">
        <f t="shared" si="29"/>
        <v>0</v>
      </c>
      <c r="AX54" s="68">
        <v>20</v>
      </c>
      <c r="AY54" s="69">
        <v>7</v>
      </c>
      <c r="AZ54" s="6"/>
      <c r="BA54" s="6" t="s">
        <v>469</v>
      </c>
    </row>
    <row r="55" spans="1:53" ht="30">
      <c r="A55" s="96" t="s">
        <v>464</v>
      </c>
      <c r="B55" s="96" t="s">
        <v>628</v>
      </c>
      <c r="C55" s="96" t="s">
        <v>628</v>
      </c>
      <c r="D55" s="97" t="s">
        <v>629</v>
      </c>
      <c r="E55" s="97" t="s">
        <v>86</v>
      </c>
      <c r="F55" s="97" t="s">
        <v>630</v>
      </c>
      <c r="G55" s="98">
        <v>42074</v>
      </c>
      <c r="H55" s="62">
        <v>0</v>
      </c>
      <c r="I55" s="8">
        <f t="shared" si="0"/>
        <v>0</v>
      </c>
      <c r="J55" s="8">
        <f t="shared" si="1"/>
        <v>0</v>
      </c>
      <c r="K55" s="8">
        <v>0</v>
      </c>
      <c r="L55" s="8">
        <f t="shared" si="2"/>
        <v>0</v>
      </c>
      <c r="M55" s="63">
        <f t="shared" si="3"/>
        <v>0</v>
      </c>
      <c r="N55" s="64">
        <f t="shared" si="4"/>
        <v>0</v>
      </c>
      <c r="O55" s="62">
        <v>0</v>
      </c>
      <c r="P55" s="8">
        <f t="shared" si="5"/>
        <v>0</v>
      </c>
      <c r="Q55" s="8">
        <f t="shared" si="6"/>
        <v>0</v>
      </c>
      <c r="R55" s="8">
        <v>0</v>
      </c>
      <c r="S55" s="8">
        <f t="shared" si="7"/>
        <v>0</v>
      </c>
      <c r="T55" s="63">
        <f t="shared" si="8"/>
        <v>0</v>
      </c>
      <c r="U55" s="65">
        <f t="shared" si="9"/>
        <v>0</v>
      </c>
      <c r="V55" s="62">
        <v>0</v>
      </c>
      <c r="W55" s="8">
        <f t="shared" si="10"/>
        <v>0</v>
      </c>
      <c r="X55" s="8">
        <f t="shared" si="11"/>
        <v>0</v>
      </c>
      <c r="Y55" s="8">
        <v>0</v>
      </c>
      <c r="Z55" s="8">
        <f t="shared" si="12"/>
        <v>0</v>
      </c>
      <c r="AA55" s="63">
        <f t="shared" si="13"/>
        <v>0</v>
      </c>
      <c r="AB55" s="65">
        <f t="shared" si="14"/>
        <v>0</v>
      </c>
      <c r="AC55" s="62">
        <v>0</v>
      </c>
      <c r="AD55" s="8">
        <f t="shared" si="15"/>
        <v>0</v>
      </c>
      <c r="AE55" s="8">
        <f t="shared" si="16"/>
        <v>0</v>
      </c>
      <c r="AF55" s="8">
        <v>0</v>
      </c>
      <c r="AG55" s="8">
        <f t="shared" si="17"/>
        <v>0</v>
      </c>
      <c r="AH55" s="63">
        <f t="shared" si="18"/>
        <v>0</v>
      </c>
      <c r="AI55" s="64">
        <f t="shared" si="19"/>
        <v>0</v>
      </c>
      <c r="AJ55" s="62">
        <v>0</v>
      </c>
      <c r="AK55" s="8">
        <f t="shared" si="20"/>
        <v>0</v>
      </c>
      <c r="AL55" s="8">
        <f t="shared" si="21"/>
        <v>0</v>
      </c>
      <c r="AM55" s="8">
        <v>0</v>
      </c>
      <c r="AN55" s="8">
        <f t="shared" si="22"/>
        <v>0</v>
      </c>
      <c r="AO55" s="63">
        <f t="shared" si="23"/>
        <v>0</v>
      </c>
      <c r="AP55" s="64">
        <f t="shared" si="24"/>
        <v>0</v>
      </c>
      <c r="AQ55" s="62">
        <v>0</v>
      </c>
      <c r="AR55" s="8">
        <f t="shared" si="25"/>
        <v>0</v>
      </c>
      <c r="AS55" s="8">
        <f t="shared" si="26"/>
        <v>0</v>
      </c>
      <c r="AT55" s="8">
        <v>0</v>
      </c>
      <c r="AU55" s="8">
        <f t="shared" si="27"/>
        <v>0</v>
      </c>
      <c r="AV55" s="63">
        <f t="shared" si="28"/>
        <v>0</v>
      </c>
      <c r="AW55" s="64">
        <f t="shared" si="29"/>
        <v>0</v>
      </c>
      <c r="AX55" s="108"/>
      <c r="AY55" s="103">
        <v>3</v>
      </c>
      <c r="AZ55" s="97" t="s">
        <v>631</v>
      </c>
      <c r="BA55" s="97" t="s">
        <v>469</v>
      </c>
    </row>
    <row r="56" spans="1:53" ht="90">
      <c r="A56" s="130" t="s">
        <v>464</v>
      </c>
      <c r="B56" s="130" t="s">
        <v>632</v>
      </c>
      <c r="C56" s="130" t="s">
        <v>632</v>
      </c>
      <c r="D56" s="131" t="s">
        <v>633</v>
      </c>
      <c r="E56" s="131" t="s">
        <v>597</v>
      </c>
      <c r="F56" s="131" t="s">
        <v>522</v>
      </c>
      <c r="G56" s="132">
        <v>42128</v>
      </c>
      <c r="H56" s="136">
        <v>0</v>
      </c>
      <c r="I56" s="8">
        <f t="shared" si="0"/>
        <v>0</v>
      </c>
      <c r="J56" s="8">
        <f t="shared" si="1"/>
        <v>0</v>
      </c>
      <c r="K56" s="8">
        <v>0</v>
      </c>
      <c r="L56" s="8">
        <f t="shared" si="2"/>
        <v>0</v>
      </c>
      <c r="M56" s="63">
        <f t="shared" si="3"/>
        <v>0</v>
      </c>
      <c r="N56" s="64">
        <f t="shared" si="4"/>
        <v>0</v>
      </c>
      <c r="O56" s="62">
        <v>0</v>
      </c>
      <c r="P56" s="8">
        <f t="shared" si="5"/>
        <v>0</v>
      </c>
      <c r="Q56" s="8">
        <f t="shared" si="6"/>
        <v>0</v>
      </c>
      <c r="R56" s="8">
        <v>0</v>
      </c>
      <c r="S56" s="8">
        <f t="shared" si="7"/>
        <v>0</v>
      </c>
      <c r="T56" s="63">
        <f t="shared" si="8"/>
        <v>0</v>
      </c>
      <c r="U56" s="65">
        <f t="shared" si="9"/>
        <v>0</v>
      </c>
      <c r="V56" s="62">
        <v>0</v>
      </c>
      <c r="W56" s="8">
        <f t="shared" si="10"/>
        <v>0</v>
      </c>
      <c r="X56" s="8">
        <f t="shared" si="11"/>
        <v>0</v>
      </c>
      <c r="Y56" s="8">
        <v>0</v>
      </c>
      <c r="Z56" s="8">
        <f t="shared" si="12"/>
        <v>0</v>
      </c>
      <c r="AA56" s="63">
        <f t="shared" si="13"/>
        <v>0</v>
      </c>
      <c r="AB56" s="65">
        <f t="shared" si="14"/>
        <v>0</v>
      </c>
      <c r="AC56" s="62">
        <v>0</v>
      </c>
      <c r="AD56" s="8">
        <f t="shared" si="15"/>
        <v>0</v>
      </c>
      <c r="AE56" s="8">
        <f t="shared" si="16"/>
        <v>0</v>
      </c>
      <c r="AF56" s="8">
        <v>0</v>
      </c>
      <c r="AG56" s="8">
        <f t="shared" si="17"/>
        <v>0</v>
      </c>
      <c r="AH56" s="63">
        <f t="shared" si="18"/>
        <v>0</v>
      </c>
      <c r="AI56" s="64">
        <f t="shared" si="19"/>
        <v>0</v>
      </c>
      <c r="AJ56" s="62">
        <v>0</v>
      </c>
      <c r="AK56" s="8">
        <f t="shared" si="20"/>
        <v>0</v>
      </c>
      <c r="AL56" s="8">
        <f t="shared" si="21"/>
        <v>0</v>
      </c>
      <c r="AM56" s="8">
        <v>0</v>
      </c>
      <c r="AN56" s="8">
        <f t="shared" si="22"/>
        <v>0</v>
      </c>
      <c r="AO56" s="63">
        <f t="shared" si="23"/>
        <v>0</v>
      </c>
      <c r="AP56" s="64">
        <f t="shared" si="24"/>
        <v>0</v>
      </c>
      <c r="AQ56" s="62">
        <v>0</v>
      </c>
      <c r="AR56" s="8">
        <f t="shared" si="25"/>
        <v>0</v>
      </c>
      <c r="AS56" s="8">
        <f t="shared" si="26"/>
        <v>0</v>
      </c>
      <c r="AT56" s="8">
        <v>0</v>
      </c>
      <c r="AU56" s="8">
        <f t="shared" si="27"/>
        <v>0</v>
      </c>
      <c r="AV56" s="63">
        <f t="shared" si="28"/>
        <v>0</v>
      </c>
      <c r="AW56" s="64">
        <f t="shared" si="29"/>
        <v>0</v>
      </c>
      <c r="AX56" s="133">
        <v>10</v>
      </c>
      <c r="AY56" s="134">
        <v>10</v>
      </c>
      <c r="AZ56" s="131" t="s">
        <v>634</v>
      </c>
      <c r="BA56" s="131" t="s">
        <v>469</v>
      </c>
    </row>
    <row r="57" spans="1:53" ht="90">
      <c r="A57" s="137" t="s">
        <v>464</v>
      </c>
      <c r="B57" s="137" t="s">
        <v>635</v>
      </c>
      <c r="C57" s="137" t="s">
        <v>635</v>
      </c>
      <c r="D57" s="138" t="s">
        <v>636</v>
      </c>
      <c r="E57" s="138" t="s">
        <v>597</v>
      </c>
      <c r="F57" s="138" t="s">
        <v>522</v>
      </c>
      <c r="G57" s="139">
        <v>42129</v>
      </c>
      <c r="H57" s="136">
        <v>0</v>
      </c>
      <c r="I57" s="8">
        <f t="shared" si="0"/>
        <v>0</v>
      </c>
      <c r="J57" s="8">
        <f t="shared" si="1"/>
        <v>0</v>
      </c>
      <c r="K57" s="8">
        <v>0</v>
      </c>
      <c r="L57" s="8">
        <f t="shared" si="2"/>
        <v>0</v>
      </c>
      <c r="M57" s="63">
        <f t="shared" si="3"/>
        <v>0</v>
      </c>
      <c r="N57" s="64">
        <f t="shared" si="4"/>
        <v>0</v>
      </c>
      <c r="O57" s="62">
        <v>0</v>
      </c>
      <c r="P57" s="8">
        <f t="shared" si="5"/>
        <v>0</v>
      </c>
      <c r="Q57" s="8">
        <f t="shared" si="6"/>
        <v>0</v>
      </c>
      <c r="R57" s="8">
        <v>0</v>
      </c>
      <c r="S57" s="8">
        <f t="shared" si="7"/>
        <v>0</v>
      </c>
      <c r="T57" s="63">
        <f t="shared" si="8"/>
        <v>0</v>
      </c>
      <c r="U57" s="65">
        <f t="shared" si="9"/>
        <v>0</v>
      </c>
      <c r="V57" s="62">
        <v>0</v>
      </c>
      <c r="W57" s="8">
        <f t="shared" si="10"/>
        <v>0</v>
      </c>
      <c r="X57" s="8">
        <f t="shared" si="11"/>
        <v>0</v>
      </c>
      <c r="Y57" s="8">
        <v>0</v>
      </c>
      <c r="Z57" s="8">
        <f t="shared" si="12"/>
        <v>0</v>
      </c>
      <c r="AA57" s="63">
        <f t="shared" si="13"/>
        <v>0</v>
      </c>
      <c r="AB57" s="65">
        <f t="shared" si="14"/>
        <v>0</v>
      </c>
      <c r="AC57" s="62">
        <v>0</v>
      </c>
      <c r="AD57" s="8">
        <f t="shared" si="15"/>
        <v>0</v>
      </c>
      <c r="AE57" s="8">
        <f t="shared" si="16"/>
        <v>0</v>
      </c>
      <c r="AF57" s="8">
        <v>0</v>
      </c>
      <c r="AG57" s="8">
        <f t="shared" si="17"/>
        <v>0</v>
      </c>
      <c r="AH57" s="63">
        <f t="shared" si="18"/>
        <v>0</v>
      </c>
      <c r="AI57" s="64">
        <f t="shared" si="19"/>
        <v>0</v>
      </c>
      <c r="AJ57" s="62">
        <v>0</v>
      </c>
      <c r="AK57" s="8">
        <f t="shared" si="20"/>
        <v>0</v>
      </c>
      <c r="AL57" s="8">
        <f t="shared" si="21"/>
        <v>0</v>
      </c>
      <c r="AM57" s="8">
        <v>0</v>
      </c>
      <c r="AN57" s="8">
        <f t="shared" si="22"/>
        <v>0</v>
      </c>
      <c r="AO57" s="63">
        <f t="shared" si="23"/>
        <v>0</v>
      </c>
      <c r="AP57" s="64">
        <f t="shared" si="24"/>
        <v>0</v>
      </c>
      <c r="AQ57" s="62">
        <v>0</v>
      </c>
      <c r="AR57" s="8">
        <f t="shared" si="25"/>
        <v>0</v>
      </c>
      <c r="AS57" s="8">
        <f t="shared" si="26"/>
        <v>0</v>
      </c>
      <c r="AT57" s="8">
        <v>0</v>
      </c>
      <c r="AU57" s="8">
        <f t="shared" si="27"/>
        <v>0</v>
      </c>
      <c r="AV57" s="63">
        <f t="shared" si="28"/>
        <v>0</v>
      </c>
      <c r="AW57" s="64">
        <f t="shared" si="29"/>
        <v>0</v>
      </c>
      <c r="AX57" s="140">
        <v>10</v>
      </c>
      <c r="AY57" s="141">
        <v>10</v>
      </c>
      <c r="AZ57" s="138" t="s">
        <v>637</v>
      </c>
      <c r="BA57" s="138" t="s">
        <v>469</v>
      </c>
    </row>
    <row r="58" spans="1:53" ht="60">
      <c r="A58" s="137" t="s">
        <v>464</v>
      </c>
      <c r="B58" s="137" t="s">
        <v>638</v>
      </c>
      <c r="C58" s="137" t="s">
        <v>638</v>
      </c>
      <c r="D58" s="138" t="s">
        <v>606</v>
      </c>
      <c r="E58" s="138" t="s">
        <v>597</v>
      </c>
      <c r="F58" s="138" t="s">
        <v>522</v>
      </c>
      <c r="G58" s="139">
        <v>42130</v>
      </c>
      <c r="H58" s="62">
        <v>0</v>
      </c>
      <c r="I58" s="8">
        <f t="shared" si="0"/>
        <v>0</v>
      </c>
      <c r="J58" s="8">
        <f t="shared" si="1"/>
        <v>0</v>
      </c>
      <c r="K58" s="8">
        <v>0</v>
      </c>
      <c r="L58" s="8">
        <f t="shared" si="2"/>
        <v>0</v>
      </c>
      <c r="M58" s="63">
        <f t="shared" si="3"/>
        <v>0</v>
      </c>
      <c r="N58" s="64">
        <f t="shared" si="4"/>
        <v>0</v>
      </c>
      <c r="O58" s="62">
        <v>0</v>
      </c>
      <c r="P58" s="8">
        <f t="shared" si="5"/>
        <v>0</v>
      </c>
      <c r="Q58" s="8">
        <f t="shared" si="6"/>
        <v>0</v>
      </c>
      <c r="R58" s="8">
        <v>0</v>
      </c>
      <c r="S58" s="8">
        <f t="shared" si="7"/>
        <v>0</v>
      </c>
      <c r="T58" s="63">
        <f t="shared" si="8"/>
        <v>0</v>
      </c>
      <c r="U58" s="65">
        <f t="shared" si="9"/>
        <v>0</v>
      </c>
      <c r="V58" s="62">
        <v>0</v>
      </c>
      <c r="W58" s="8">
        <f t="shared" si="10"/>
        <v>0</v>
      </c>
      <c r="X58" s="8">
        <f t="shared" si="11"/>
        <v>0</v>
      </c>
      <c r="Y58" s="8">
        <v>0</v>
      </c>
      <c r="Z58" s="8">
        <f t="shared" si="12"/>
        <v>0</v>
      </c>
      <c r="AA58" s="63">
        <f t="shared" si="13"/>
        <v>0</v>
      </c>
      <c r="AB58" s="65">
        <f t="shared" si="14"/>
        <v>0</v>
      </c>
      <c r="AC58" s="62">
        <v>0</v>
      </c>
      <c r="AD58" s="8">
        <f t="shared" si="15"/>
        <v>0</v>
      </c>
      <c r="AE58" s="8">
        <f t="shared" si="16"/>
        <v>0</v>
      </c>
      <c r="AF58" s="8">
        <v>0</v>
      </c>
      <c r="AG58" s="8">
        <f t="shared" si="17"/>
        <v>0</v>
      </c>
      <c r="AH58" s="63">
        <f t="shared" si="18"/>
        <v>0</v>
      </c>
      <c r="AI58" s="64">
        <f t="shared" si="19"/>
        <v>0</v>
      </c>
      <c r="AJ58" s="62">
        <v>0</v>
      </c>
      <c r="AK58" s="8">
        <f t="shared" si="20"/>
        <v>0</v>
      </c>
      <c r="AL58" s="8">
        <f t="shared" si="21"/>
        <v>0</v>
      </c>
      <c r="AM58" s="8">
        <v>0</v>
      </c>
      <c r="AN58" s="8">
        <f t="shared" si="22"/>
        <v>0</v>
      </c>
      <c r="AO58" s="63">
        <f t="shared" si="23"/>
        <v>0</v>
      </c>
      <c r="AP58" s="64">
        <f t="shared" si="24"/>
        <v>0</v>
      </c>
      <c r="AQ58" s="62">
        <v>0</v>
      </c>
      <c r="AR58" s="8">
        <f t="shared" si="25"/>
        <v>0</v>
      </c>
      <c r="AS58" s="8">
        <f t="shared" si="26"/>
        <v>0</v>
      </c>
      <c r="AT58" s="8">
        <v>0</v>
      </c>
      <c r="AU58" s="8">
        <f t="shared" si="27"/>
        <v>0</v>
      </c>
      <c r="AV58" s="63">
        <f t="shared" si="28"/>
        <v>0</v>
      </c>
      <c r="AW58" s="64">
        <f t="shared" si="29"/>
        <v>0</v>
      </c>
      <c r="AX58" s="140">
        <v>0.25</v>
      </c>
      <c r="AY58" s="141">
        <v>0.25</v>
      </c>
      <c r="AZ58" s="138" t="s">
        <v>639</v>
      </c>
      <c r="BA58" s="138" t="s">
        <v>510</v>
      </c>
    </row>
    <row r="59" spans="1:53" ht="45">
      <c r="A59" s="88" t="s">
        <v>464</v>
      </c>
      <c r="B59" s="88" t="s">
        <v>640</v>
      </c>
      <c r="C59" s="88" t="s">
        <v>640</v>
      </c>
      <c r="D59" s="135" t="s">
        <v>600</v>
      </c>
      <c r="E59" s="89" t="s">
        <v>472</v>
      </c>
      <c r="F59" s="89" t="s">
        <v>477</v>
      </c>
      <c r="G59" s="90">
        <v>42136</v>
      </c>
      <c r="H59" s="62">
        <v>8654.15</v>
      </c>
      <c r="I59" s="8">
        <f t="shared" si="0"/>
        <v>23.709999999999997</v>
      </c>
      <c r="J59" s="8">
        <f t="shared" si="1"/>
        <v>721.17916666666667</v>
      </c>
      <c r="K59" s="8">
        <v>8654.15</v>
      </c>
      <c r="L59" s="8">
        <f t="shared" si="2"/>
        <v>23.709999999999997</v>
      </c>
      <c r="M59" s="63">
        <f t="shared" si="3"/>
        <v>721.17916666666667</v>
      </c>
      <c r="N59" s="64">
        <f t="shared" si="4"/>
        <v>0</v>
      </c>
      <c r="O59" s="62">
        <v>0</v>
      </c>
      <c r="P59" s="8">
        <f t="shared" si="5"/>
        <v>0</v>
      </c>
      <c r="Q59" s="8">
        <f t="shared" si="6"/>
        <v>0</v>
      </c>
      <c r="R59" s="8">
        <v>0</v>
      </c>
      <c r="S59" s="8">
        <f t="shared" si="7"/>
        <v>0</v>
      </c>
      <c r="T59" s="63">
        <f t="shared" si="8"/>
        <v>0</v>
      </c>
      <c r="U59" s="65">
        <f t="shared" si="9"/>
        <v>0</v>
      </c>
      <c r="V59" s="62">
        <v>5372.8</v>
      </c>
      <c r="W59" s="8">
        <f t="shared" si="10"/>
        <v>14.72</v>
      </c>
      <c r="X59" s="8">
        <f t="shared" si="11"/>
        <v>447.73333333333335</v>
      </c>
      <c r="Y59" s="8">
        <v>5372.8</v>
      </c>
      <c r="Z59" s="8">
        <f t="shared" si="12"/>
        <v>14.72</v>
      </c>
      <c r="AA59" s="63">
        <f t="shared" si="13"/>
        <v>447.73333333333335</v>
      </c>
      <c r="AB59" s="65">
        <f t="shared" si="14"/>
        <v>0</v>
      </c>
      <c r="AC59" s="62">
        <v>3281.35</v>
      </c>
      <c r="AD59" s="8">
        <f t="shared" si="15"/>
        <v>8.99</v>
      </c>
      <c r="AE59" s="8">
        <f t="shared" si="16"/>
        <v>273.44583333333333</v>
      </c>
      <c r="AF59" s="8">
        <v>3281.35</v>
      </c>
      <c r="AG59" s="8">
        <f t="shared" si="17"/>
        <v>8.99</v>
      </c>
      <c r="AH59" s="63">
        <f t="shared" si="18"/>
        <v>273.44583333333333</v>
      </c>
      <c r="AI59" s="64">
        <f t="shared" si="19"/>
        <v>0</v>
      </c>
      <c r="AJ59" s="62">
        <v>0</v>
      </c>
      <c r="AK59" s="8">
        <f t="shared" si="20"/>
        <v>0</v>
      </c>
      <c r="AL59" s="8">
        <f t="shared" si="21"/>
        <v>0</v>
      </c>
      <c r="AM59" s="8">
        <v>0</v>
      </c>
      <c r="AN59" s="8">
        <f t="shared" si="22"/>
        <v>0</v>
      </c>
      <c r="AO59" s="63">
        <f t="shared" si="23"/>
        <v>0</v>
      </c>
      <c r="AP59" s="64">
        <f t="shared" si="24"/>
        <v>0</v>
      </c>
      <c r="AQ59" s="66">
        <v>0</v>
      </c>
      <c r="AR59" s="37">
        <f t="shared" si="25"/>
        <v>0</v>
      </c>
      <c r="AS59" s="37">
        <f t="shared" si="26"/>
        <v>0</v>
      </c>
      <c r="AT59" s="37">
        <v>0</v>
      </c>
      <c r="AU59" s="37">
        <f t="shared" si="27"/>
        <v>0</v>
      </c>
      <c r="AV59" s="67">
        <f t="shared" si="28"/>
        <v>0</v>
      </c>
      <c r="AW59" s="64">
        <f t="shared" si="29"/>
        <v>0</v>
      </c>
      <c r="AX59" s="94" t="s">
        <v>482</v>
      </c>
      <c r="AY59" s="95">
        <v>14</v>
      </c>
      <c r="AZ59" s="89" t="s">
        <v>601</v>
      </c>
      <c r="BA59" s="89" t="s">
        <v>469</v>
      </c>
    </row>
    <row r="60" spans="1:53" ht="75">
      <c r="A60" s="7" t="s">
        <v>464</v>
      </c>
      <c r="B60" s="7" t="s">
        <v>641</v>
      </c>
      <c r="C60" s="7" t="s">
        <v>641</v>
      </c>
      <c r="D60" s="60" t="s">
        <v>642</v>
      </c>
      <c r="E60" s="6" t="s">
        <v>489</v>
      </c>
      <c r="F60" s="6" t="s">
        <v>467</v>
      </c>
      <c r="G60" s="71">
        <v>42143</v>
      </c>
      <c r="H60" s="62">
        <f>45.56*0.75</f>
        <v>34.17</v>
      </c>
      <c r="I60" s="8">
        <f t="shared" si="0"/>
        <v>9.3616438356164386E-2</v>
      </c>
      <c r="J60" s="8">
        <f t="shared" si="1"/>
        <v>2.8475000000000001</v>
      </c>
      <c r="K60" s="8">
        <f>45.56*0.75</f>
        <v>34.17</v>
      </c>
      <c r="L60" s="8">
        <f t="shared" si="2"/>
        <v>9.3616438356164386E-2</v>
      </c>
      <c r="M60" s="63">
        <f t="shared" si="3"/>
        <v>2.8475000000000001</v>
      </c>
      <c r="N60" s="64">
        <f t="shared" si="4"/>
        <v>0</v>
      </c>
      <c r="O60" s="62">
        <v>0</v>
      </c>
      <c r="P60" s="8">
        <f t="shared" si="5"/>
        <v>0</v>
      </c>
      <c r="Q60" s="8">
        <f t="shared" si="6"/>
        <v>0</v>
      </c>
      <c r="R60" s="8">
        <v>0</v>
      </c>
      <c r="S60" s="8">
        <f t="shared" si="7"/>
        <v>0</v>
      </c>
      <c r="T60" s="63">
        <f t="shared" si="8"/>
        <v>0</v>
      </c>
      <c r="U60" s="65">
        <f t="shared" si="9"/>
        <v>0</v>
      </c>
      <c r="V60" s="62">
        <f>45.56*0.75</f>
        <v>34.17</v>
      </c>
      <c r="W60" s="8">
        <f t="shared" si="10"/>
        <v>9.3616438356164386E-2</v>
      </c>
      <c r="X60" s="8">
        <f t="shared" si="11"/>
        <v>2.8475000000000001</v>
      </c>
      <c r="Y60" s="8">
        <f>45.56*0.75</f>
        <v>34.17</v>
      </c>
      <c r="Z60" s="8">
        <f t="shared" si="12"/>
        <v>9.3616438356164386E-2</v>
      </c>
      <c r="AA60" s="63">
        <f t="shared" si="13"/>
        <v>2.8475000000000001</v>
      </c>
      <c r="AB60" s="65">
        <f t="shared" si="14"/>
        <v>0</v>
      </c>
      <c r="AC60" s="62">
        <v>0</v>
      </c>
      <c r="AD60" s="8">
        <f t="shared" si="15"/>
        <v>0</v>
      </c>
      <c r="AE60" s="8">
        <f t="shared" si="16"/>
        <v>0</v>
      </c>
      <c r="AF60" s="8">
        <v>0</v>
      </c>
      <c r="AG60" s="8">
        <f t="shared" si="17"/>
        <v>0</v>
      </c>
      <c r="AH60" s="63">
        <f t="shared" si="18"/>
        <v>0</v>
      </c>
      <c r="AI60" s="64">
        <f t="shared" si="19"/>
        <v>0</v>
      </c>
      <c r="AJ60" s="62">
        <v>0</v>
      </c>
      <c r="AK60" s="8">
        <f t="shared" si="20"/>
        <v>0</v>
      </c>
      <c r="AL60" s="8">
        <f t="shared" si="21"/>
        <v>0</v>
      </c>
      <c r="AM60" s="8">
        <v>0</v>
      </c>
      <c r="AN60" s="8">
        <f t="shared" si="22"/>
        <v>0</v>
      </c>
      <c r="AO60" s="63">
        <f t="shared" si="23"/>
        <v>0</v>
      </c>
      <c r="AP60" s="64">
        <f t="shared" si="24"/>
        <v>0</v>
      </c>
      <c r="AQ60" s="66">
        <f>45.56*0.25</f>
        <v>11.39</v>
      </c>
      <c r="AR60" s="37">
        <f t="shared" si="25"/>
        <v>3.1205479452054798E-2</v>
      </c>
      <c r="AS60" s="37">
        <f t="shared" si="26"/>
        <v>0.94916666666666671</v>
      </c>
      <c r="AT60" s="37">
        <f>45.56*0.25</f>
        <v>11.39</v>
      </c>
      <c r="AU60" s="37">
        <f t="shared" si="27"/>
        <v>3.1205479452054798E-2</v>
      </c>
      <c r="AV60" s="67">
        <f t="shared" si="28"/>
        <v>0.94916666666666671</v>
      </c>
      <c r="AW60" s="64">
        <f t="shared" si="29"/>
        <v>0</v>
      </c>
      <c r="AX60" s="68" t="s">
        <v>482</v>
      </c>
      <c r="AY60" s="69">
        <v>6</v>
      </c>
      <c r="AZ60" s="6" t="s">
        <v>643</v>
      </c>
      <c r="BA60" s="6" t="s">
        <v>469</v>
      </c>
    </row>
    <row r="61" spans="1:53" ht="30">
      <c r="A61" s="7" t="s">
        <v>464</v>
      </c>
      <c r="B61" s="7" t="s">
        <v>644</v>
      </c>
      <c r="C61" s="7" t="s">
        <v>644</v>
      </c>
      <c r="D61" s="6" t="s">
        <v>645</v>
      </c>
      <c r="E61" s="6" t="s">
        <v>489</v>
      </c>
      <c r="F61" s="6" t="s">
        <v>514</v>
      </c>
      <c r="G61" s="71">
        <v>42144</v>
      </c>
      <c r="H61" s="62">
        <v>10.42</v>
      </c>
      <c r="I61" s="8">
        <f t="shared" si="0"/>
        <v>2.8547945205479451E-2</v>
      </c>
      <c r="J61" s="8">
        <f t="shared" si="1"/>
        <v>0.86833333333333329</v>
      </c>
      <c r="K61" s="8">
        <v>10.42</v>
      </c>
      <c r="L61" s="8">
        <f t="shared" si="2"/>
        <v>2.8547945205479451E-2</v>
      </c>
      <c r="M61" s="63">
        <f t="shared" si="3"/>
        <v>0.86833333333333329</v>
      </c>
      <c r="N61" s="64">
        <f t="shared" si="4"/>
        <v>0</v>
      </c>
      <c r="O61" s="62">
        <v>0</v>
      </c>
      <c r="P61" s="8">
        <f t="shared" si="5"/>
        <v>0</v>
      </c>
      <c r="Q61" s="8">
        <f t="shared" si="6"/>
        <v>0</v>
      </c>
      <c r="R61" s="8">
        <v>0</v>
      </c>
      <c r="S61" s="8">
        <f t="shared" si="7"/>
        <v>0</v>
      </c>
      <c r="T61" s="63">
        <f t="shared" si="8"/>
        <v>0</v>
      </c>
      <c r="U61" s="65">
        <f t="shared" si="9"/>
        <v>0</v>
      </c>
      <c r="V61" s="62">
        <v>10.42</v>
      </c>
      <c r="W61" s="8">
        <f t="shared" si="10"/>
        <v>2.8547945205479451E-2</v>
      </c>
      <c r="X61" s="8">
        <f t="shared" si="11"/>
        <v>0.86833333333333329</v>
      </c>
      <c r="Y61" s="8">
        <v>10.42</v>
      </c>
      <c r="Z61" s="8">
        <f t="shared" si="12"/>
        <v>2.8547945205479451E-2</v>
      </c>
      <c r="AA61" s="63">
        <f t="shared" si="13"/>
        <v>0.86833333333333329</v>
      </c>
      <c r="AB61" s="65">
        <f t="shared" si="14"/>
        <v>0</v>
      </c>
      <c r="AC61" s="62">
        <v>0</v>
      </c>
      <c r="AD61" s="8">
        <f t="shared" si="15"/>
        <v>0</v>
      </c>
      <c r="AE61" s="8">
        <f t="shared" si="16"/>
        <v>0</v>
      </c>
      <c r="AF61" s="8">
        <v>0</v>
      </c>
      <c r="AG61" s="8">
        <f t="shared" si="17"/>
        <v>0</v>
      </c>
      <c r="AH61" s="63">
        <f t="shared" si="18"/>
        <v>0</v>
      </c>
      <c r="AI61" s="64">
        <f t="shared" si="19"/>
        <v>0</v>
      </c>
      <c r="AJ61" s="62">
        <v>0</v>
      </c>
      <c r="AK61" s="8">
        <f t="shared" si="20"/>
        <v>0</v>
      </c>
      <c r="AL61" s="8">
        <f t="shared" si="21"/>
        <v>0</v>
      </c>
      <c r="AM61" s="8">
        <v>0</v>
      </c>
      <c r="AN61" s="8">
        <f t="shared" si="22"/>
        <v>0</v>
      </c>
      <c r="AO61" s="63">
        <f t="shared" si="23"/>
        <v>0</v>
      </c>
      <c r="AP61" s="64">
        <f t="shared" si="24"/>
        <v>0</v>
      </c>
      <c r="AQ61" s="66">
        <v>25.16</v>
      </c>
      <c r="AR61" s="37">
        <f t="shared" si="25"/>
        <v>6.8931506849315066E-2</v>
      </c>
      <c r="AS61" s="37">
        <f t="shared" si="26"/>
        <v>2.0966666666666667</v>
      </c>
      <c r="AT61" s="37">
        <v>24.72</v>
      </c>
      <c r="AU61" s="37">
        <f t="shared" si="27"/>
        <v>6.7726027397260274E-2</v>
      </c>
      <c r="AV61" s="67">
        <f t="shared" si="28"/>
        <v>2.06</v>
      </c>
      <c r="AW61" s="64">
        <f t="shared" si="29"/>
        <v>-1.2054794520547918E-3</v>
      </c>
      <c r="AX61" s="68">
        <v>20</v>
      </c>
      <c r="AY61" s="69">
        <v>20</v>
      </c>
      <c r="AZ61" s="6"/>
      <c r="BA61" s="6" t="s">
        <v>469</v>
      </c>
    </row>
    <row r="62" spans="1:53">
      <c r="A62" s="7" t="s">
        <v>464</v>
      </c>
      <c r="B62" s="7" t="s">
        <v>646</v>
      </c>
      <c r="C62" s="7" t="s">
        <v>646</v>
      </c>
      <c r="D62" s="6" t="s">
        <v>647</v>
      </c>
      <c r="E62" s="6" t="s">
        <v>15</v>
      </c>
      <c r="F62" s="6" t="s">
        <v>477</v>
      </c>
      <c r="G62" s="71">
        <v>42156</v>
      </c>
      <c r="H62" s="62">
        <v>32.78</v>
      </c>
      <c r="I62" s="8">
        <f t="shared" si="0"/>
        <v>8.9808219178082196E-2</v>
      </c>
      <c r="J62" s="8">
        <f t="shared" si="1"/>
        <v>2.7316666666666669</v>
      </c>
      <c r="K62" s="8">
        <v>16.600000000000001</v>
      </c>
      <c r="L62" s="8">
        <f t="shared" si="2"/>
        <v>4.5479452054794527E-2</v>
      </c>
      <c r="M62" s="63">
        <f t="shared" si="3"/>
        <v>1.3833333333333335</v>
      </c>
      <c r="N62" s="64">
        <f t="shared" si="4"/>
        <v>-4.432876712328767E-2</v>
      </c>
      <c r="O62" s="62">
        <v>0</v>
      </c>
      <c r="P62" s="8">
        <f t="shared" si="5"/>
        <v>0</v>
      </c>
      <c r="Q62" s="8">
        <f t="shared" si="6"/>
        <v>0</v>
      </c>
      <c r="R62" s="8">
        <v>0</v>
      </c>
      <c r="S62" s="8">
        <f t="shared" si="7"/>
        <v>0</v>
      </c>
      <c r="T62" s="63">
        <f t="shared" si="8"/>
        <v>0</v>
      </c>
      <c r="U62" s="65">
        <f t="shared" si="9"/>
        <v>0</v>
      </c>
      <c r="V62" s="62">
        <v>32.78</v>
      </c>
      <c r="W62" s="8">
        <f t="shared" si="10"/>
        <v>8.9808219178082196E-2</v>
      </c>
      <c r="X62" s="8">
        <f t="shared" si="11"/>
        <v>2.7316666666666669</v>
      </c>
      <c r="Y62" s="8">
        <v>16.600000000000001</v>
      </c>
      <c r="Z62" s="8">
        <f t="shared" si="12"/>
        <v>4.5479452054794527E-2</v>
      </c>
      <c r="AA62" s="63">
        <f t="shared" si="13"/>
        <v>1.3833333333333335</v>
      </c>
      <c r="AB62" s="65">
        <f t="shared" si="14"/>
        <v>-4.432876712328767E-2</v>
      </c>
      <c r="AC62" s="62">
        <v>0</v>
      </c>
      <c r="AD62" s="8">
        <f t="shared" si="15"/>
        <v>0</v>
      </c>
      <c r="AE62" s="8">
        <f t="shared" si="16"/>
        <v>0</v>
      </c>
      <c r="AF62" s="8">
        <v>0</v>
      </c>
      <c r="AG62" s="8">
        <f t="shared" si="17"/>
        <v>0</v>
      </c>
      <c r="AH62" s="63">
        <f t="shared" si="18"/>
        <v>0</v>
      </c>
      <c r="AI62" s="64">
        <f t="shared" si="19"/>
        <v>0</v>
      </c>
      <c r="AJ62" s="62">
        <v>0</v>
      </c>
      <c r="AK62" s="8">
        <f t="shared" si="20"/>
        <v>0</v>
      </c>
      <c r="AL62" s="8">
        <f t="shared" si="21"/>
        <v>0</v>
      </c>
      <c r="AM62" s="8">
        <v>0</v>
      </c>
      <c r="AN62" s="8">
        <f t="shared" si="22"/>
        <v>0</v>
      </c>
      <c r="AO62" s="63">
        <f t="shared" si="23"/>
        <v>0</v>
      </c>
      <c r="AP62" s="64">
        <f t="shared" si="24"/>
        <v>0</v>
      </c>
      <c r="AQ62" s="66">
        <v>0</v>
      </c>
      <c r="AR62" s="37">
        <f t="shared" si="25"/>
        <v>0</v>
      </c>
      <c r="AS62" s="37">
        <f t="shared" si="26"/>
        <v>0</v>
      </c>
      <c r="AT62" s="37">
        <v>0</v>
      </c>
      <c r="AU62" s="37">
        <f t="shared" si="27"/>
        <v>0</v>
      </c>
      <c r="AV62" s="67">
        <f t="shared" si="28"/>
        <v>0</v>
      </c>
      <c r="AW62" s="64">
        <f t="shared" si="29"/>
        <v>0</v>
      </c>
      <c r="AX62" s="68">
        <v>20</v>
      </c>
      <c r="AY62" s="69">
        <v>20</v>
      </c>
      <c r="AZ62" s="6"/>
      <c r="BA62" s="6" t="s">
        <v>469</v>
      </c>
    </row>
    <row r="63" spans="1:53" ht="75">
      <c r="A63" s="7" t="s">
        <v>464</v>
      </c>
      <c r="B63" s="7" t="s">
        <v>648</v>
      </c>
      <c r="C63" s="7" t="s">
        <v>648</v>
      </c>
      <c r="D63" s="6" t="s">
        <v>649</v>
      </c>
      <c r="E63" s="6" t="s">
        <v>489</v>
      </c>
      <c r="F63" s="6" t="s">
        <v>514</v>
      </c>
      <c r="G63" s="61">
        <v>42163</v>
      </c>
      <c r="H63" s="62">
        <v>0</v>
      </c>
      <c r="I63" s="8">
        <f t="shared" si="0"/>
        <v>0</v>
      </c>
      <c r="J63" s="8">
        <f t="shared" si="1"/>
        <v>0</v>
      </c>
      <c r="K63" s="8">
        <v>97.28</v>
      </c>
      <c r="L63" s="8">
        <f t="shared" si="2"/>
        <v>0.26652054794520547</v>
      </c>
      <c r="M63" s="63">
        <f t="shared" si="3"/>
        <v>8.1066666666666674</v>
      </c>
      <c r="N63" s="64">
        <f t="shared" si="4"/>
        <v>0.26652054794520547</v>
      </c>
      <c r="O63" s="62">
        <v>0</v>
      </c>
      <c r="P63" s="8">
        <f t="shared" si="5"/>
        <v>0</v>
      </c>
      <c r="Q63" s="8">
        <f t="shared" si="6"/>
        <v>0</v>
      </c>
      <c r="R63" s="8">
        <v>0</v>
      </c>
      <c r="S63" s="8">
        <f t="shared" si="7"/>
        <v>0</v>
      </c>
      <c r="T63" s="63">
        <f t="shared" si="8"/>
        <v>0</v>
      </c>
      <c r="U63" s="65">
        <f t="shared" si="9"/>
        <v>0</v>
      </c>
      <c r="V63" s="62">
        <v>0</v>
      </c>
      <c r="W63" s="8">
        <f t="shared" si="10"/>
        <v>0</v>
      </c>
      <c r="X63" s="8">
        <f t="shared" si="11"/>
        <v>0</v>
      </c>
      <c r="Y63" s="8">
        <v>97.28</v>
      </c>
      <c r="Z63" s="8">
        <f t="shared" si="12"/>
        <v>0.26652054794520547</v>
      </c>
      <c r="AA63" s="63">
        <f t="shared" si="13"/>
        <v>8.1066666666666674</v>
      </c>
      <c r="AB63" s="65">
        <f t="shared" si="14"/>
        <v>0.26652054794520547</v>
      </c>
      <c r="AC63" s="62">
        <v>0</v>
      </c>
      <c r="AD63" s="8">
        <f t="shared" si="15"/>
        <v>0</v>
      </c>
      <c r="AE63" s="8">
        <f t="shared" si="16"/>
        <v>0</v>
      </c>
      <c r="AF63" s="8">
        <v>0</v>
      </c>
      <c r="AG63" s="8">
        <f t="shared" si="17"/>
        <v>0</v>
      </c>
      <c r="AH63" s="63">
        <f t="shared" si="18"/>
        <v>0</v>
      </c>
      <c r="AI63" s="64">
        <f t="shared" si="19"/>
        <v>0</v>
      </c>
      <c r="AJ63" s="62">
        <v>0</v>
      </c>
      <c r="AK63" s="8">
        <f t="shared" si="20"/>
        <v>0</v>
      </c>
      <c r="AL63" s="8">
        <f t="shared" si="21"/>
        <v>0</v>
      </c>
      <c r="AM63" s="8">
        <v>0</v>
      </c>
      <c r="AN63" s="8">
        <f t="shared" si="22"/>
        <v>0</v>
      </c>
      <c r="AO63" s="63">
        <f t="shared" si="23"/>
        <v>0</v>
      </c>
      <c r="AP63" s="64">
        <f t="shared" si="24"/>
        <v>0</v>
      </c>
      <c r="AQ63" s="66">
        <v>97.28</v>
      </c>
      <c r="AR63" s="37">
        <f t="shared" si="25"/>
        <v>0.26652054794520547</v>
      </c>
      <c r="AS63" s="37">
        <f t="shared" si="26"/>
        <v>8.1066666666666674</v>
      </c>
      <c r="AT63" s="37">
        <v>97.28</v>
      </c>
      <c r="AU63" s="37">
        <f t="shared" si="27"/>
        <v>0.26652054794520547</v>
      </c>
      <c r="AV63" s="67">
        <f t="shared" si="28"/>
        <v>8.1066666666666674</v>
      </c>
      <c r="AW63" s="64">
        <f t="shared" si="29"/>
        <v>0</v>
      </c>
      <c r="AX63" s="68" t="s">
        <v>482</v>
      </c>
      <c r="AY63" s="69">
        <v>13</v>
      </c>
      <c r="AZ63" s="6" t="s">
        <v>650</v>
      </c>
      <c r="BA63" s="6" t="s">
        <v>469</v>
      </c>
    </row>
    <row r="64" spans="1:53" ht="90">
      <c r="A64" s="7" t="s">
        <v>464</v>
      </c>
      <c r="B64" s="7" t="s">
        <v>651</v>
      </c>
      <c r="C64" s="7" t="s">
        <v>651</v>
      </c>
      <c r="D64" s="6" t="s">
        <v>652</v>
      </c>
      <c r="E64" s="6" t="s">
        <v>155</v>
      </c>
      <c r="F64" s="6" t="s">
        <v>514</v>
      </c>
      <c r="G64" s="71">
        <v>42166</v>
      </c>
      <c r="H64" s="62">
        <v>0</v>
      </c>
      <c r="I64" s="8">
        <f t="shared" si="0"/>
        <v>0</v>
      </c>
      <c r="J64" s="8">
        <f t="shared" si="1"/>
        <v>0</v>
      </c>
      <c r="K64" s="8">
        <v>0</v>
      </c>
      <c r="L64" s="8">
        <f t="shared" si="2"/>
        <v>0</v>
      </c>
      <c r="M64" s="63">
        <f t="shared" si="3"/>
        <v>0</v>
      </c>
      <c r="N64" s="64">
        <f t="shared" si="4"/>
        <v>0</v>
      </c>
      <c r="O64" s="62">
        <v>0</v>
      </c>
      <c r="P64" s="8">
        <f t="shared" si="5"/>
        <v>0</v>
      </c>
      <c r="Q64" s="8">
        <f t="shared" si="6"/>
        <v>0</v>
      </c>
      <c r="R64" s="8">
        <v>0</v>
      </c>
      <c r="S64" s="8">
        <f t="shared" si="7"/>
        <v>0</v>
      </c>
      <c r="T64" s="63">
        <f t="shared" si="8"/>
        <v>0</v>
      </c>
      <c r="U64" s="65">
        <f t="shared" si="9"/>
        <v>0</v>
      </c>
      <c r="V64" s="62">
        <v>0</v>
      </c>
      <c r="W64" s="8">
        <f t="shared" si="10"/>
        <v>0</v>
      </c>
      <c r="X64" s="8">
        <f t="shared" si="11"/>
        <v>0</v>
      </c>
      <c r="Y64" s="8">
        <v>0</v>
      </c>
      <c r="Z64" s="8">
        <f t="shared" si="12"/>
        <v>0</v>
      </c>
      <c r="AA64" s="63">
        <f t="shared" si="13"/>
        <v>0</v>
      </c>
      <c r="AB64" s="65">
        <f t="shared" si="14"/>
        <v>0</v>
      </c>
      <c r="AC64" s="62">
        <v>0</v>
      </c>
      <c r="AD64" s="8">
        <f t="shared" si="15"/>
        <v>0</v>
      </c>
      <c r="AE64" s="8">
        <f t="shared" si="16"/>
        <v>0</v>
      </c>
      <c r="AF64" s="8">
        <v>0</v>
      </c>
      <c r="AG64" s="8">
        <f t="shared" si="17"/>
        <v>0</v>
      </c>
      <c r="AH64" s="63">
        <f t="shared" si="18"/>
        <v>0</v>
      </c>
      <c r="AI64" s="64">
        <f t="shared" si="19"/>
        <v>0</v>
      </c>
      <c r="AJ64" s="62">
        <v>0</v>
      </c>
      <c r="AK64" s="8">
        <f t="shared" si="20"/>
        <v>0</v>
      </c>
      <c r="AL64" s="8">
        <f t="shared" si="21"/>
        <v>0</v>
      </c>
      <c r="AM64" s="8">
        <v>0</v>
      </c>
      <c r="AN64" s="8">
        <f t="shared" si="22"/>
        <v>0</v>
      </c>
      <c r="AO64" s="63">
        <f t="shared" si="23"/>
        <v>0</v>
      </c>
      <c r="AP64" s="64">
        <f t="shared" si="24"/>
        <v>0</v>
      </c>
      <c r="AQ64" s="66">
        <v>200</v>
      </c>
      <c r="AR64" s="37">
        <f t="shared" si="25"/>
        <v>0.54794520547945202</v>
      </c>
      <c r="AS64" s="37">
        <f t="shared" si="26"/>
        <v>16.666666666666668</v>
      </c>
      <c r="AT64" s="37">
        <f>946+1+2+1</f>
        <v>950</v>
      </c>
      <c r="AU64" s="37">
        <f t="shared" si="27"/>
        <v>2.6027397260273974</v>
      </c>
      <c r="AV64" s="67">
        <f t="shared" si="28"/>
        <v>79.166666666666671</v>
      </c>
      <c r="AW64" s="64">
        <f t="shared" si="29"/>
        <v>2.0547945205479454</v>
      </c>
      <c r="AX64" s="68" t="s">
        <v>482</v>
      </c>
      <c r="AY64" s="69">
        <v>9</v>
      </c>
      <c r="AZ64" s="6" t="s">
        <v>653</v>
      </c>
      <c r="BA64" s="6" t="s">
        <v>469</v>
      </c>
    </row>
    <row r="65" spans="1:53" ht="30">
      <c r="A65" s="7" t="s">
        <v>464</v>
      </c>
      <c r="B65" s="7" t="s">
        <v>654</v>
      </c>
      <c r="C65" s="7" t="s">
        <v>654</v>
      </c>
      <c r="D65" s="6" t="s">
        <v>655</v>
      </c>
      <c r="E65" s="6" t="s">
        <v>15</v>
      </c>
      <c r="F65" s="6" t="s">
        <v>473</v>
      </c>
      <c r="G65" s="71">
        <v>42170</v>
      </c>
      <c r="H65" s="62">
        <v>0</v>
      </c>
      <c r="I65" s="8">
        <f t="shared" si="0"/>
        <v>0</v>
      </c>
      <c r="J65" s="8">
        <f t="shared" si="1"/>
        <v>0</v>
      </c>
      <c r="K65" s="8">
        <v>47.45</v>
      </c>
      <c r="L65" s="8">
        <f t="shared" si="2"/>
        <v>0.13</v>
      </c>
      <c r="M65" s="63">
        <f t="shared" si="3"/>
        <v>3.9541666666666671</v>
      </c>
      <c r="N65" s="64">
        <f t="shared" si="4"/>
        <v>0.13</v>
      </c>
      <c r="O65" s="62">
        <v>0</v>
      </c>
      <c r="P65" s="8">
        <f t="shared" si="5"/>
        <v>0</v>
      </c>
      <c r="Q65" s="8">
        <f t="shared" si="6"/>
        <v>0</v>
      </c>
      <c r="R65" s="8">
        <v>0</v>
      </c>
      <c r="S65" s="8">
        <f t="shared" si="7"/>
        <v>0</v>
      </c>
      <c r="T65" s="63">
        <f t="shared" si="8"/>
        <v>0</v>
      </c>
      <c r="U65" s="65">
        <f t="shared" si="9"/>
        <v>0</v>
      </c>
      <c r="V65" s="62">
        <v>0</v>
      </c>
      <c r="W65" s="8">
        <f t="shared" si="10"/>
        <v>0</v>
      </c>
      <c r="X65" s="8">
        <f t="shared" si="11"/>
        <v>0</v>
      </c>
      <c r="Y65" s="8">
        <v>47.45</v>
      </c>
      <c r="Z65" s="8">
        <f t="shared" si="12"/>
        <v>0.13</v>
      </c>
      <c r="AA65" s="63">
        <f t="shared" si="13"/>
        <v>3.9541666666666671</v>
      </c>
      <c r="AB65" s="65">
        <f t="shared" si="14"/>
        <v>0.13</v>
      </c>
      <c r="AC65" s="62">
        <v>0</v>
      </c>
      <c r="AD65" s="8">
        <f t="shared" si="15"/>
        <v>0</v>
      </c>
      <c r="AE65" s="8">
        <f t="shared" si="16"/>
        <v>0</v>
      </c>
      <c r="AF65" s="8">
        <v>0</v>
      </c>
      <c r="AG65" s="8">
        <f t="shared" si="17"/>
        <v>0</v>
      </c>
      <c r="AH65" s="63">
        <f t="shared" si="18"/>
        <v>0</v>
      </c>
      <c r="AI65" s="64">
        <f t="shared" si="19"/>
        <v>0</v>
      </c>
      <c r="AJ65" s="62">
        <v>0</v>
      </c>
      <c r="AK65" s="8">
        <f t="shared" si="20"/>
        <v>0</v>
      </c>
      <c r="AL65" s="8">
        <f t="shared" si="21"/>
        <v>0</v>
      </c>
      <c r="AM65" s="8">
        <v>0</v>
      </c>
      <c r="AN65" s="8">
        <f t="shared" si="22"/>
        <v>0</v>
      </c>
      <c r="AO65" s="63">
        <f t="shared" si="23"/>
        <v>0</v>
      </c>
      <c r="AP65" s="64">
        <f t="shared" si="24"/>
        <v>0</v>
      </c>
      <c r="AQ65" s="66">
        <v>0</v>
      </c>
      <c r="AR65" s="37">
        <f t="shared" si="25"/>
        <v>0</v>
      </c>
      <c r="AS65" s="37">
        <f t="shared" si="26"/>
        <v>0</v>
      </c>
      <c r="AT65" s="37">
        <v>0</v>
      </c>
      <c r="AU65" s="37">
        <f t="shared" si="27"/>
        <v>0</v>
      </c>
      <c r="AV65" s="67">
        <f t="shared" si="28"/>
        <v>0</v>
      </c>
      <c r="AW65" s="64">
        <f t="shared" si="29"/>
        <v>0</v>
      </c>
      <c r="AX65" s="68">
        <v>20</v>
      </c>
      <c r="AY65" s="69">
        <v>10</v>
      </c>
      <c r="AZ65" s="6"/>
      <c r="BA65" s="6" t="s">
        <v>469</v>
      </c>
    </row>
    <row r="66" spans="1:53">
      <c r="A66" s="7" t="s">
        <v>464</v>
      </c>
      <c r="B66" s="7" t="s">
        <v>656</v>
      </c>
      <c r="C66" s="7" t="s">
        <v>656</v>
      </c>
      <c r="D66" s="6" t="s">
        <v>657</v>
      </c>
      <c r="E66" s="6" t="s">
        <v>15</v>
      </c>
      <c r="F66" s="6" t="s">
        <v>467</v>
      </c>
      <c r="G66" s="71">
        <v>42172</v>
      </c>
      <c r="H66" s="62">
        <v>0</v>
      </c>
      <c r="I66" s="8">
        <f t="shared" ref="I66:I114" si="30">H66/365</f>
        <v>0</v>
      </c>
      <c r="J66" s="8">
        <f t="shared" ref="J66:J116" si="31">H66/12</f>
        <v>0</v>
      </c>
      <c r="K66" s="8">
        <v>22.1</v>
      </c>
      <c r="L66" s="8">
        <f t="shared" ref="L66:L106" si="32">K66/365</f>
        <v>6.0547945205479459E-2</v>
      </c>
      <c r="M66" s="63">
        <f t="shared" ref="M66:M106" si="33">K66/12</f>
        <v>1.8416666666666668</v>
      </c>
      <c r="N66" s="64">
        <f t="shared" ref="N66:N106" si="34">L66-I66</f>
        <v>6.0547945205479459E-2</v>
      </c>
      <c r="O66" s="62">
        <v>0</v>
      </c>
      <c r="P66" s="8">
        <f t="shared" ref="P66:P116" si="35">O66/365</f>
        <v>0</v>
      </c>
      <c r="Q66" s="8">
        <f t="shared" ref="Q66:Q116" si="36">O66/12</f>
        <v>0</v>
      </c>
      <c r="R66" s="8">
        <v>0</v>
      </c>
      <c r="S66" s="8">
        <f t="shared" ref="S66:S106" si="37">R66/365</f>
        <v>0</v>
      </c>
      <c r="T66" s="63">
        <f t="shared" ref="T66:T106" si="38">R66/12</f>
        <v>0</v>
      </c>
      <c r="U66" s="65">
        <f t="shared" ref="U66:U106" si="39">S66-P66</f>
        <v>0</v>
      </c>
      <c r="V66" s="62">
        <v>0</v>
      </c>
      <c r="W66" s="8">
        <f t="shared" ref="W66:W116" si="40">V66/365</f>
        <v>0</v>
      </c>
      <c r="X66" s="8">
        <f t="shared" ref="X66:X116" si="41">V66/12</f>
        <v>0</v>
      </c>
      <c r="Y66" s="8">
        <v>22.1</v>
      </c>
      <c r="Z66" s="8">
        <f t="shared" ref="Z66:Z116" si="42">Y66/365</f>
        <v>6.0547945205479459E-2</v>
      </c>
      <c r="AA66" s="63">
        <f t="shared" ref="AA66:AA116" si="43">Y66/12</f>
        <v>1.8416666666666668</v>
      </c>
      <c r="AB66" s="65">
        <f t="shared" ref="AB66:AB116" si="44">Z66-W66</f>
        <v>6.0547945205479459E-2</v>
      </c>
      <c r="AC66" s="62">
        <v>0</v>
      </c>
      <c r="AD66" s="8">
        <f t="shared" ref="AD66:AD116" si="45">AC66/365</f>
        <v>0</v>
      </c>
      <c r="AE66" s="8">
        <f t="shared" ref="AE66:AE116" si="46">AC66/12</f>
        <v>0</v>
      </c>
      <c r="AF66" s="8">
        <v>0</v>
      </c>
      <c r="AG66" s="8">
        <f t="shared" ref="AG66:AG116" si="47">AF66/365</f>
        <v>0</v>
      </c>
      <c r="AH66" s="63">
        <f t="shared" ref="AH66:AH116" si="48">AF66/12</f>
        <v>0</v>
      </c>
      <c r="AI66" s="64">
        <f t="shared" ref="AI66:AI116" si="49">AG66-AD66</f>
        <v>0</v>
      </c>
      <c r="AJ66" s="62">
        <v>0</v>
      </c>
      <c r="AK66" s="8">
        <f t="shared" ref="AK66:AK116" si="50">AJ66/365</f>
        <v>0</v>
      </c>
      <c r="AL66" s="8">
        <f t="shared" ref="AL66:AL116" si="51">AJ66/12</f>
        <v>0</v>
      </c>
      <c r="AM66" s="8">
        <v>0</v>
      </c>
      <c r="AN66" s="8">
        <f t="shared" ref="AN66:AN116" si="52">AM66/365</f>
        <v>0</v>
      </c>
      <c r="AO66" s="63">
        <f t="shared" ref="AO66:AO116" si="53">AM66/12</f>
        <v>0</v>
      </c>
      <c r="AP66" s="64">
        <f t="shared" ref="AP66:AP116" si="54">AN66-AK66</f>
        <v>0</v>
      </c>
      <c r="AQ66" s="66">
        <v>0</v>
      </c>
      <c r="AR66" s="37">
        <f t="shared" ref="AR66:AR116" si="55">AQ66/365</f>
        <v>0</v>
      </c>
      <c r="AS66" s="37">
        <f t="shared" ref="AS66:AS116" si="56">AQ66/12</f>
        <v>0</v>
      </c>
      <c r="AT66" s="37">
        <v>0</v>
      </c>
      <c r="AU66" s="37">
        <f t="shared" ref="AU66:AU116" si="57">AT66/365</f>
        <v>0</v>
      </c>
      <c r="AV66" s="67">
        <f t="shared" ref="AV66:AV116" si="58">AT66/12</f>
        <v>0</v>
      </c>
      <c r="AW66" s="64">
        <f t="shared" ref="AW66:AW116" si="59">AU66-AR66</f>
        <v>0</v>
      </c>
      <c r="AX66" s="68">
        <v>5</v>
      </c>
      <c r="AY66" s="69">
        <v>5</v>
      </c>
      <c r="AZ66" s="6"/>
      <c r="BA66" s="6" t="s">
        <v>469</v>
      </c>
    </row>
    <row r="67" spans="1:53" ht="45">
      <c r="A67" s="72" t="s">
        <v>464</v>
      </c>
      <c r="B67" s="72" t="s">
        <v>658</v>
      </c>
      <c r="C67" s="72" t="s">
        <v>658</v>
      </c>
      <c r="D67" s="73" t="s">
        <v>659</v>
      </c>
      <c r="E67" s="73"/>
      <c r="F67" s="73" t="s">
        <v>477</v>
      </c>
      <c r="G67" s="142">
        <v>42174</v>
      </c>
      <c r="H67" s="66">
        <v>0</v>
      </c>
      <c r="I67" s="37">
        <f t="shared" si="30"/>
        <v>0</v>
      </c>
      <c r="J67" s="37">
        <f t="shared" si="31"/>
        <v>0</v>
      </c>
      <c r="K67" s="37">
        <v>0</v>
      </c>
      <c r="L67" s="37">
        <f t="shared" si="32"/>
        <v>0</v>
      </c>
      <c r="M67" s="67">
        <f t="shared" si="33"/>
        <v>0</v>
      </c>
      <c r="N67" s="64">
        <f t="shared" si="34"/>
        <v>0</v>
      </c>
      <c r="O67" s="62">
        <v>0</v>
      </c>
      <c r="P67" s="8">
        <f t="shared" si="35"/>
        <v>0</v>
      </c>
      <c r="Q67" s="8">
        <f t="shared" si="36"/>
        <v>0</v>
      </c>
      <c r="R67" s="8">
        <v>0</v>
      </c>
      <c r="S67" s="8">
        <f t="shared" si="37"/>
        <v>0</v>
      </c>
      <c r="T67" s="63">
        <f t="shared" si="38"/>
        <v>0</v>
      </c>
      <c r="U67" s="65">
        <f t="shared" si="39"/>
        <v>0</v>
      </c>
      <c r="V67" s="62">
        <v>0</v>
      </c>
      <c r="W67" s="8">
        <f t="shared" si="40"/>
        <v>0</v>
      </c>
      <c r="X67" s="8">
        <f t="shared" si="41"/>
        <v>0</v>
      </c>
      <c r="Y67" s="8">
        <v>0</v>
      </c>
      <c r="Z67" s="8">
        <f t="shared" si="42"/>
        <v>0</v>
      </c>
      <c r="AA67" s="63">
        <f t="shared" si="43"/>
        <v>0</v>
      </c>
      <c r="AB67" s="65">
        <f t="shared" si="44"/>
        <v>0</v>
      </c>
      <c r="AC67" s="62">
        <v>0</v>
      </c>
      <c r="AD67" s="8">
        <f t="shared" si="45"/>
        <v>0</v>
      </c>
      <c r="AE67" s="8">
        <f t="shared" si="46"/>
        <v>0</v>
      </c>
      <c r="AF67" s="8">
        <v>0</v>
      </c>
      <c r="AG67" s="8">
        <f t="shared" si="47"/>
        <v>0</v>
      </c>
      <c r="AH67" s="63">
        <f t="shared" si="48"/>
        <v>0</v>
      </c>
      <c r="AI67" s="64">
        <f t="shared" si="49"/>
        <v>0</v>
      </c>
      <c r="AJ67" s="62">
        <v>0</v>
      </c>
      <c r="AK67" s="8">
        <f t="shared" si="50"/>
        <v>0</v>
      </c>
      <c r="AL67" s="8">
        <f t="shared" si="51"/>
        <v>0</v>
      </c>
      <c r="AM67" s="8">
        <v>0</v>
      </c>
      <c r="AN67" s="8">
        <f t="shared" si="52"/>
        <v>0</v>
      </c>
      <c r="AO67" s="63">
        <f t="shared" si="53"/>
        <v>0</v>
      </c>
      <c r="AP67" s="64">
        <f t="shared" si="54"/>
        <v>0</v>
      </c>
      <c r="AQ67" s="66">
        <v>0</v>
      </c>
      <c r="AR67" s="37">
        <f t="shared" si="55"/>
        <v>0</v>
      </c>
      <c r="AS67" s="37">
        <f t="shared" si="56"/>
        <v>0</v>
      </c>
      <c r="AT67" s="37">
        <v>0</v>
      </c>
      <c r="AU67" s="37">
        <f t="shared" si="57"/>
        <v>0</v>
      </c>
      <c r="AV67" s="67">
        <f t="shared" si="58"/>
        <v>0</v>
      </c>
      <c r="AW67" s="64">
        <f t="shared" si="59"/>
        <v>0</v>
      </c>
      <c r="AX67" s="75"/>
      <c r="AY67" s="76"/>
      <c r="AZ67" s="73" t="s">
        <v>660</v>
      </c>
      <c r="BA67" s="73" t="s">
        <v>486</v>
      </c>
    </row>
    <row r="68" spans="1:53" ht="60">
      <c r="A68" s="130" t="s">
        <v>464</v>
      </c>
      <c r="B68" s="130" t="s">
        <v>661</v>
      </c>
      <c r="C68" s="130" t="s">
        <v>661</v>
      </c>
      <c r="D68" s="131" t="s">
        <v>662</v>
      </c>
      <c r="E68" s="131" t="s">
        <v>597</v>
      </c>
      <c r="F68" s="131" t="s">
        <v>522</v>
      </c>
      <c r="G68" s="132">
        <v>42179</v>
      </c>
      <c r="H68" s="143">
        <v>0</v>
      </c>
      <c r="I68" s="37">
        <f t="shared" si="30"/>
        <v>0</v>
      </c>
      <c r="J68" s="37">
        <f t="shared" si="31"/>
        <v>0</v>
      </c>
      <c r="K68" s="37">
        <v>0</v>
      </c>
      <c r="L68" s="37">
        <f t="shared" si="32"/>
        <v>0</v>
      </c>
      <c r="M68" s="67">
        <f t="shared" si="33"/>
        <v>0</v>
      </c>
      <c r="N68" s="64">
        <f t="shared" si="34"/>
        <v>0</v>
      </c>
      <c r="O68" s="62">
        <v>0</v>
      </c>
      <c r="P68" s="8">
        <f t="shared" si="35"/>
        <v>0</v>
      </c>
      <c r="Q68" s="8">
        <f t="shared" si="36"/>
        <v>0</v>
      </c>
      <c r="R68" s="8">
        <v>0</v>
      </c>
      <c r="S68" s="8">
        <f t="shared" si="37"/>
        <v>0</v>
      </c>
      <c r="T68" s="63">
        <f t="shared" si="38"/>
        <v>0</v>
      </c>
      <c r="U68" s="65">
        <f t="shared" si="39"/>
        <v>0</v>
      </c>
      <c r="V68" s="62">
        <v>0</v>
      </c>
      <c r="W68" s="8">
        <f t="shared" si="40"/>
        <v>0</v>
      </c>
      <c r="X68" s="8">
        <f t="shared" si="41"/>
        <v>0</v>
      </c>
      <c r="Y68" s="8">
        <v>0</v>
      </c>
      <c r="Z68" s="8">
        <f t="shared" si="42"/>
        <v>0</v>
      </c>
      <c r="AA68" s="63">
        <f t="shared" si="43"/>
        <v>0</v>
      </c>
      <c r="AB68" s="65">
        <f t="shared" si="44"/>
        <v>0</v>
      </c>
      <c r="AC68" s="62">
        <v>0</v>
      </c>
      <c r="AD68" s="8">
        <f t="shared" si="45"/>
        <v>0</v>
      </c>
      <c r="AE68" s="8">
        <f t="shared" si="46"/>
        <v>0</v>
      </c>
      <c r="AF68" s="8">
        <v>0</v>
      </c>
      <c r="AG68" s="8">
        <f t="shared" si="47"/>
        <v>0</v>
      </c>
      <c r="AH68" s="63">
        <f t="shared" si="48"/>
        <v>0</v>
      </c>
      <c r="AI68" s="64">
        <f t="shared" si="49"/>
        <v>0</v>
      </c>
      <c r="AJ68" s="62">
        <v>0</v>
      </c>
      <c r="AK68" s="8">
        <f t="shared" si="50"/>
        <v>0</v>
      </c>
      <c r="AL68" s="8">
        <f t="shared" si="51"/>
        <v>0</v>
      </c>
      <c r="AM68" s="8">
        <v>0</v>
      </c>
      <c r="AN68" s="8">
        <f t="shared" si="52"/>
        <v>0</v>
      </c>
      <c r="AO68" s="63">
        <f t="shared" si="53"/>
        <v>0</v>
      </c>
      <c r="AP68" s="64">
        <f t="shared" si="54"/>
        <v>0</v>
      </c>
      <c r="AQ68" s="66">
        <v>0</v>
      </c>
      <c r="AR68" s="37">
        <f t="shared" si="55"/>
        <v>0</v>
      </c>
      <c r="AS68" s="37">
        <f t="shared" si="56"/>
        <v>0</v>
      </c>
      <c r="AT68" s="37">
        <v>0</v>
      </c>
      <c r="AU68" s="37">
        <f t="shared" si="57"/>
        <v>0</v>
      </c>
      <c r="AV68" s="67">
        <f t="shared" si="58"/>
        <v>0</v>
      </c>
      <c r="AW68" s="64">
        <f t="shared" si="59"/>
        <v>0</v>
      </c>
      <c r="AX68" s="133">
        <v>2</v>
      </c>
      <c r="AY68" s="134">
        <v>2</v>
      </c>
      <c r="AZ68" s="131" t="s">
        <v>663</v>
      </c>
      <c r="BA68" s="131" t="s">
        <v>469</v>
      </c>
    </row>
    <row r="69" spans="1:53" ht="120">
      <c r="A69" s="7" t="s">
        <v>464</v>
      </c>
      <c r="B69" s="7" t="s">
        <v>664</v>
      </c>
      <c r="C69" s="7" t="s">
        <v>664</v>
      </c>
      <c r="D69" s="6" t="s">
        <v>665</v>
      </c>
      <c r="E69" s="6" t="s">
        <v>15</v>
      </c>
      <c r="F69" s="6" t="s">
        <v>467</v>
      </c>
      <c r="G69" s="61">
        <v>42187</v>
      </c>
      <c r="H69" s="62">
        <v>4.3</v>
      </c>
      <c r="I69" s="8">
        <f t="shared" si="30"/>
        <v>1.1780821917808219E-2</v>
      </c>
      <c r="J69" s="8">
        <f t="shared" si="31"/>
        <v>0.35833333333333334</v>
      </c>
      <c r="K69" s="8">
        <v>6.98</v>
      </c>
      <c r="L69" s="8">
        <f t="shared" si="32"/>
        <v>1.9123287671232878E-2</v>
      </c>
      <c r="M69" s="63">
        <f t="shared" si="33"/>
        <v>0.58166666666666667</v>
      </c>
      <c r="N69" s="64">
        <f t="shared" si="34"/>
        <v>7.3424657534246589E-3</v>
      </c>
      <c r="O69" s="62">
        <v>0</v>
      </c>
      <c r="P69" s="8">
        <f t="shared" si="35"/>
        <v>0</v>
      </c>
      <c r="Q69" s="8">
        <f t="shared" si="36"/>
        <v>0</v>
      </c>
      <c r="R69" s="8">
        <v>0</v>
      </c>
      <c r="S69" s="8">
        <f t="shared" si="37"/>
        <v>0</v>
      </c>
      <c r="T69" s="63">
        <f t="shared" si="38"/>
        <v>0</v>
      </c>
      <c r="U69" s="65">
        <f t="shared" si="39"/>
        <v>0</v>
      </c>
      <c r="V69" s="62">
        <v>4.3</v>
      </c>
      <c r="W69" s="8">
        <f t="shared" si="40"/>
        <v>1.1780821917808219E-2</v>
      </c>
      <c r="X69" s="8">
        <f t="shared" si="41"/>
        <v>0.35833333333333334</v>
      </c>
      <c r="Y69" s="8">
        <v>6.98</v>
      </c>
      <c r="Z69" s="8">
        <f t="shared" si="42"/>
        <v>1.9123287671232878E-2</v>
      </c>
      <c r="AA69" s="63">
        <f t="shared" si="43"/>
        <v>0.58166666666666667</v>
      </c>
      <c r="AB69" s="65">
        <f t="shared" si="44"/>
        <v>7.3424657534246589E-3</v>
      </c>
      <c r="AC69" s="62">
        <v>0</v>
      </c>
      <c r="AD69" s="8">
        <f t="shared" si="45"/>
        <v>0</v>
      </c>
      <c r="AE69" s="8">
        <f t="shared" si="46"/>
        <v>0</v>
      </c>
      <c r="AF69" s="8">
        <v>0</v>
      </c>
      <c r="AG69" s="8">
        <f t="shared" si="47"/>
        <v>0</v>
      </c>
      <c r="AH69" s="63">
        <f t="shared" si="48"/>
        <v>0</v>
      </c>
      <c r="AI69" s="64">
        <f t="shared" si="49"/>
        <v>0</v>
      </c>
      <c r="AJ69" s="62">
        <v>0</v>
      </c>
      <c r="AK69" s="8">
        <f t="shared" si="50"/>
        <v>0</v>
      </c>
      <c r="AL69" s="8">
        <f t="shared" si="51"/>
        <v>0</v>
      </c>
      <c r="AM69" s="8">
        <v>0</v>
      </c>
      <c r="AN69" s="8">
        <f t="shared" si="52"/>
        <v>0</v>
      </c>
      <c r="AO69" s="63">
        <f t="shared" si="53"/>
        <v>0</v>
      </c>
      <c r="AP69" s="64">
        <f t="shared" si="54"/>
        <v>0</v>
      </c>
      <c r="AQ69" s="66">
        <v>0</v>
      </c>
      <c r="AR69" s="37">
        <f t="shared" si="55"/>
        <v>0</v>
      </c>
      <c r="AS69" s="37">
        <f t="shared" si="56"/>
        <v>0</v>
      </c>
      <c r="AT69" s="37">
        <v>0</v>
      </c>
      <c r="AU69" s="37">
        <f t="shared" si="57"/>
        <v>0</v>
      </c>
      <c r="AV69" s="67">
        <f t="shared" si="58"/>
        <v>0</v>
      </c>
      <c r="AW69" s="64">
        <f t="shared" si="59"/>
        <v>0</v>
      </c>
      <c r="AX69" s="68">
        <v>20</v>
      </c>
      <c r="AY69" s="69">
        <v>10</v>
      </c>
      <c r="AZ69" s="6" t="s">
        <v>666</v>
      </c>
      <c r="BA69" s="6" t="s">
        <v>469</v>
      </c>
    </row>
    <row r="70" spans="1:53" ht="30">
      <c r="A70" s="7" t="s">
        <v>464</v>
      </c>
      <c r="B70" s="7" t="s">
        <v>667</v>
      </c>
      <c r="C70" s="7" t="s">
        <v>667</v>
      </c>
      <c r="D70" s="6" t="s">
        <v>668</v>
      </c>
      <c r="E70" s="6" t="s">
        <v>15</v>
      </c>
      <c r="F70" s="6" t="s">
        <v>514</v>
      </c>
      <c r="G70" s="71">
        <v>42213</v>
      </c>
      <c r="H70" s="62">
        <v>5.54</v>
      </c>
      <c r="I70" s="8">
        <f t="shared" si="30"/>
        <v>1.5178082191780823E-2</v>
      </c>
      <c r="J70" s="8">
        <f t="shared" si="31"/>
        <v>0.46166666666666667</v>
      </c>
      <c r="K70" s="8">
        <v>5.54</v>
      </c>
      <c r="L70" s="8">
        <f t="shared" si="32"/>
        <v>1.5178082191780823E-2</v>
      </c>
      <c r="M70" s="63">
        <f t="shared" si="33"/>
        <v>0.46166666666666667</v>
      </c>
      <c r="N70" s="64">
        <f t="shared" si="34"/>
        <v>0</v>
      </c>
      <c r="O70" s="62">
        <v>0</v>
      </c>
      <c r="P70" s="8">
        <f t="shared" si="35"/>
        <v>0</v>
      </c>
      <c r="Q70" s="8">
        <f t="shared" si="36"/>
        <v>0</v>
      </c>
      <c r="R70" s="8">
        <v>0</v>
      </c>
      <c r="S70" s="8">
        <f t="shared" si="37"/>
        <v>0</v>
      </c>
      <c r="T70" s="63">
        <f t="shared" si="38"/>
        <v>0</v>
      </c>
      <c r="U70" s="65">
        <f t="shared" si="39"/>
        <v>0</v>
      </c>
      <c r="V70" s="62">
        <v>5.54</v>
      </c>
      <c r="W70" s="8">
        <f t="shared" si="40"/>
        <v>1.5178082191780823E-2</v>
      </c>
      <c r="X70" s="8">
        <f t="shared" si="41"/>
        <v>0.46166666666666667</v>
      </c>
      <c r="Y70" s="8">
        <v>5.54</v>
      </c>
      <c r="Z70" s="8">
        <f t="shared" si="42"/>
        <v>1.5178082191780823E-2</v>
      </c>
      <c r="AA70" s="63">
        <f t="shared" si="43"/>
        <v>0.46166666666666667</v>
      </c>
      <c r="AB70" s="65">
        <f t="shared" si="44"/>
        <v>0</v>
      </c>
      <c r="AC70" s="62">
        <v>0</v>
      </c>
      <c r="AD70" s="8">
        <f t="shared" si="45"/>
        <v>0</v>
      </c>
      <c r="AE70" s="8">
        <f t="shared" si="46"/>
        <v>0</v>
      </c>
      <c r="AF70" s="8">
        <v>0</v>
      </c>
      <c r="AG70" s="8">
        <f t="shared" si="47"/>
        <v>0</v>
      </c>
      <c r="AH70" s="63">
        <f t="shared" si="48"/>
        <v>0</v>
      </c>
      <c r="AI70" s="64">
        <f t="shared" si="49"/>
        <v>0</v>
      </c>
      <c r="AJ70" s="62">
        <v>0</v>
      </c>
      <c r="AK70" s="8">
        <f t="shared" si="50"/>
        <v>0</v>
      </c>
      <c r="AL70" s="8">
        <f t="shared" si="51"/>
        <v>0</v>
      </c>
      <c r="AM70" s="8">
        <v>0</v>
      </c>
      <c r="AN70" s="8">
        <f t="shared" si="52"/>
        <v>0</v>
      </c>
      <c r="AO70" s="63">
        <f t="shared" si="53"/>
        <v>0</v>
      </c>
      <c r="AP70" s="64">
        <f t="shared" si="54"/>
        <v>0</v>
      </c>
      <c r="AQ70" s="66">
        <v>0</v>
      </c>
      <c r="AR70" s="37">
        <f t="shared" si="55"/>
        <v>0</v>
      </c>
      <c r="AS70" s="37">
        <f t="shared" si="56"/>
        <v>0</v>
      </c>
      <c r="AT70" s="37">
        <v>0</v>
      </c>
      <c r="AU70" s="37">
        <f t="shared" si="57"/>
        <v>0</v>
      </c>
      <c r="AV70" s="67">
        <f t="shared" si="58"/>
        <v>0</v>
      </c>
      <c r="AW70" s="64">
        <f t="shared" si="59"/>
        <v>0</v>
      </c>
      <c r="AX70" s="68">
        <v>20</v>
      </c>
      <c r="AY70" s="69">
        <v>20</v>
      </c>
      <c r="AZ70" s="6"/>
      <c r="BA70" s="144" t="s">
        <v>469</v>
      </c>
    </row>
    <row r="71" spans="1:53" ht="120">
      <c r="A71" s="7" t="s">
        <v>464</v>
      </c>
      <c r="B71" s="7" t="s">
        <v>669</v>
      </c>
      <c r="C71" s="7" t="s">
        <v>669</v>
      </c>
      <c r="D71" s="6" t="s">
        <v>670</v>
      </c>
      <c r="E71" s="6" t="s">
        <v>15</v>
      </c>
      <c r="F71" s="6" t="s">
        <v>514</v>
      </c>
      <c r="G71" s="71">
        <v>42219</v>
      </c>
      <c r="H71" s="62">
        <v>37.53</v>
      </c>
      <c r="I71" s="8">
        <f t="shared" si="30"/>
        <v>0.10282191780821918</v>
      </c>
      <c r="J71" s="8">
        <f t="shared" si="31"/>
        <v>3.1274999999999999</v>
      </c>
      <c r="K71" s="8">
        <v>0</v>
      </c>
      <c r="L71" s="8">
        <f t="shared" si="32"/>
        <v>0</v>
      </c>
      <c r="M71" s="63">
        <f t="shared" si="33"/>
        <v>0</v>
      </c>
      <c r="N71" s="64">
        <f t="shared" si="34"/>
        <v>-0.10282191780821918</v>
      </c>
      <c r="O71" s="62">
        <v>0</v>
      </c>
      <c r="P71" s="8">
        <f t="shared" si="35"/>
        <v>0</v>
      </c>
      <c r="Q71" s="8">
        <f t="shared" si="36"/>
        <v>0</v>
      </c>
      <c r="R71" s="8">
        <v>0</v>
      </c>
      <c r="S71" s="8">
        <f t="shared" si="37"/>
        <v>0</v>
      </c>
      <c r="T71" s="63">
        <f t="shared" si="38"/>
        <v>0</v>
      </c>
      <c r="U71" s="65">
        <f t="shared" si="39"/>
        <v>0</v>
      </c>
      <c r="V71" s="62">
        <v>37.53</v>
      </c>
      <c r="W71" s="8">
        <f t="shared" si="40"/>
        <v>0.10282191780821918</v>
      </c>
      <c r="X71" s="8">
        <f t="shared" si="41"/>
        <v>3.1274999999999999</v>
      </c>
      <c r="Y71" s="8">
        <v>0</v>
      </c>
      <c r="Z71" s="8">
        <f t="shared" si="42"/>
        <v>0</v>
      </c>
      <c r="AA71" s="63">
        <f t="shared" si="43"/>
        <v>0</v>
      </c>
      <c r="AB71" s="65">
        <f t="shared" si="44"/>
        <v>-0.10282191780821918</v>
      </c>
      <c r="AC71" s="62">
        <v>0</v>
      </c>
      <c r="AD71" s="8">
        <f t="shared" si="45"/>
        <v>0</v>
      </c>
      <c r="AE71" s="8">
        <f t="shared" si="46"/>
        <v>0</v>
      </c>
      <c r="AF71" s="8">
        <v>0</v>
      </c>
      <c r="AG71" s="8">
        <f t="shared" si="47"/>
        <v>0</v>
      </c>
      <c r="AH71" s="63">
        <f t="shared" si="48"/>
        <v>0</v>
      </c>
      <c r="AI71" s="64">
        <f t="shared" si="49"/>
        <v>0</v>
      </c>
      <c r="AJ71" s="62">
        <v>0</v>
      </c>
      <c r="AK71" s="8">
        <f t="shared" si="50"/>
        <v>0</v>
      </c>
      <c r="AL71" s="8">
        <f t="shared" si="51"/>
        <v>0</v>
      </c>
      <c r="AM71" s="8">
        <v>0</v>
      </c>
      <c r="AN71" s="8">
        <f t="shared" si="52"/>
        <v>0</v>
      </c>
      <c r="AO71" s="63">
        <f t="shared" si="53"/>
        <v>0</v>
      </c>
      <c r="AP71" s="64">
        <f t="shared" si="54"/>
        <v>0</v>
      </c>
      <c r="AQ71" s="66">
        <v>0</v>
      </c>
      <c r="AR71" s="37">
        <f t="shared" si="55"/>
        <v>0</v>
      </c>
      <c r="AS71" s="37">
        <f t="shared" si="56"/>
        <v>0</v>
      </c>
      <c r="AT71" s="37">
        <v>0</v>
      </c>
      <c r="AU71" s="37">
        <f t="shared" si="57"/>
        <v>0</v>
      </c>
      <c r="AV71" s="67">
        <f t="shared" si="58"/>
        <v>0</v>
      </c>
      <c r="AW71" s="64">
        <f t="shared" si="59"/>
        <v>0</v>
      </c>
      <c r="AX71" s="68">
        <v>20</v>
      </c>
      <c r="AY71" s="69">
        <v>20</v>
      </c>
      <c r="AZ71" s="6" t="s">
        <v>671</v>
      </c>
      <c r="BA71" s="6" t="s">
        <v>469</v>
      </c>
    </row>
    <row r="72" spans="1:53" ht="60">
      <c r="A72" s="130" t="s">
        <v>464</v>
      </c>
      <c r="B72" s="130" t="s">
        <v>672</v>
      </c>
      <c r="C72" s="130" t="s">
        <v>672</v>
      </c>
      <c r="D72" s="131" t="s">
        <v>673</v>
      </c>
      <c r="E72" s="145" t="s">
        <v>597</v>
      </c>
      <c r="F72" s="145" t="s">
        <v>522</v>
      </c>
      <c r="G72" s="146">
        <v>42220</v>
      </c>
      <c r="H72" s="66">
        <v>0</v>
      </c>
      <c r="I72" s="37">
        <f t="shared" si="30"/>
        <v>0</v>
      </c>
      <c r="J72" s="37">
        <f t="shared" si="31"/>
        <v>0</v>
      </c>
      <c r="K72" s="37">
        <v>0</v>
      </c>
      <c r="L72" s="37">
        <f t="shared" si="32"/>
        <v>0</v>
      </c>
      <c r="M72" s="67">
        <f t="shared" si="33"/>
        <v>0</v>
      </c>
      <c r="N72" s="64">
        <f t="shared" si="34"/>
        <v>0</v>
      </c>
      <c r="O72" s="62">
        <v>0</v>
      </c>
      <c r="P72" s="8">
        <f t="shared" si="35"/>
        <v>0</v>
      </c>
      <c r="Q72" s="8">
        <f t="shared" si="36"/>
        <v>0</v>
      </c>
      <c r="R72" s="8">
        <v>0</v>
      </c>
      <c r="S72" s="8">
        <f t="shared" si="37"/>
        <v>0</v>
      </c>
      <c r="T72" s="63">
        <f t="shared" si="38"/>
        <v>0</v>
      </c>
      <c r="U72" s="65">
        <f t="shared" si="39"/>
        <v>0</v>
      </c>
      <c r="V72" s="62">
        <v>0</v>
      </c>
      <c r="W72" s="8">
        <f t="shared" si="40"/>
        <v>0</v>
      </c>
      <c r="X72" s="8">
        <f t="shared" si="41"/>
        <v>0</v>
      </c>
      <c r="Y72" s="8">
        <v>0</v>
      </c>
      <c r="Z72" s="8">
        <f t="shared" si="42"/>
        <v>0</v>
      </c>
      <c r="AA72" s="63">
        <f t="shared" si="43"/>
        <v>0</v>
      </c>
      <c r="AB72" s="65">
        <f t="shared" si="44"/>
        <v>0</v>
      </c>
      <c r="AC72" s="62">
        <v>0</v>
      </c>
      <c r="AD72" s="8">
        <f t="shared" si="45"/>
        <v>0</v>
      </c>
      <c r="AE72" s="8">
        <f t="shared" si="46"/>
        <v>0</v>
      </c>
      <c r="AF72" s="8">
        <v>0</v>
      </c>
      <c r="AG72" s="8">
        <f t="shared" si="47"/>
        <v>0</v>
      </c>
      <c r="AH72" s="63">
        <f t="shared" si="48"/>
        <v>0</v>
      </c>
      <c r="AI72" s="64">
        <f t="shared" si="49"/>
        <v>0</v>
      </c>
      <c r="AJ72" s="62">
        <v>0</v>
      </c>
      <c r="AK72" s="8">
        <f t="shared" si="50"/>
        <v>0</v>
      </c>
      <c r="AL72" s="8">
        <f t="shared" si="51"/>
        <v>0</v>
      </c>
      <c r="AM72" s="8">
        <v>0</v>
      </c>
      <c r="AN72" s="8">
        <f t="shared" si="52"/>
        <v>0</v>
      </c>
      <c r="AO72" s="63">
        <f t="shared" si="53"/>
        <v>0</v>
      </c>
      <c r="AP72" s="64">
        <f t="shared" si="54"/>
        <v>0</v>
      </c>
      <c r="AQ72" s="66">
        <v>0</v>
      </c>
      <c r="AR72" s="37">
        <f t="shared" si="55"/>
        <v>0</v>
      </c>
      <c r="AS72" s="37">
        <f t="shared" si="56"/>
        <v>0</v>
      </c>
      <c r="AT72" s="37">
        <v>0</v>
      </c>
      <c r="AU72" s="37">
        <f t="shared" si="57"/>
        <v>0</v>
      </c>
      <c r="AV72" s="67">
        <f t="shared" si="58"/>
        <v>0</v>
      </c>
      <c r="AW72" s="64">
        <f t="shared" si="59"/>
        <v>0</v>
      </c>
      <c r="AX72" s="147">
        <v>3</v>
      </c>
      <c r="AY72" s="148">
        <v>3</v>
      </c>
      <c r="AZ72" s="131" t="s">
        <v>663</v>
      </c>
      <c r="BA72" s="131" t="s">
        <v>469</v>
      </c>
    </row>
    <row r="73" spans="1:53" ht="105">
      <c r="A73" s="79" t="s">
        <v>464</v>
      </c>
      <c r="B73" s="79" t="s">
        <v>674</v>
      </c>
      <c r="C73" s="79" t="s">
        <v>674</v>
      </c>
      <c r="D73" s="80" t="s">
        <v>675</v>
      </c>
      <c r="E73" s="80" t="s">
        <v>489</v>
      </c>
      <c r="F73" s="80" t="s">
        <v>522</v>
      </c>
      <c r="G73" s="81">
        <v>42220</v>
      </c>
      <c r="H73" s="82">
        <v>26</v>
      </c>
      <c r="I73" s="83">
        <f t="shared" si="30"/>
        <v>7.1232876712328766E-2</v>
      </c>
      <c r="J73" s="83">
        <f t="shared" si="31"/>
        <v>2.1666666666666665</v>
      </c>
      <c r="K73" s="83">
        <v>0</v>
      </c>
      <c r="L73" s="83">
        <f t="shared" si="32"/>
        <v>0</v>
      </c>
      <c r="M73" s="84">
        <f t="shared" si="33"/>
        <v>0</v>
      </c>
      <c r="N73" s="64">
        <f t="shared" si="34"/>
        <v>-7.1232876712328766E-2</v>
      </c>
      <c r="O73" s="62">
        <v>0</v>
      </c>
      <c r="P73" s="8">
        <f t="shared" si="35"/>
        <v>0</v>
      </c>
      <c r="Q73" s="8">
        <f t="shared" si="36"/>
        <v>0</v>
      </c>
      <c r="R73" s="8">
        <v>0</v>
      </c>
      <c r="S73" s="8">
        <f t="shared" si="37"/>
        <v>0</v>
      </c>
      <c r="T73" s="63">
        <f t="shared" si="38"/>
        <v>0</v>
      </c>
      <c r="U73" s="65">
        <f t="shared" si="39"/>
        <v>0</v>
      </c>
      <c r="V73" s="62">
        <v>26</v>
      </c>
      <c r="W73" s="8">
        <f t="shared" si="40"/>
        <v>7.1232876712328766E-2</v>
      </c>
      <c r="X73" s="8">
        <f t="shared" si="41"/>
        <v>2.1666666666666665</v>
      </c>
      <c r="Y73" s="8">
        <v>0</v>
      </c>
      <c r="Z73" s="8">
        <f t="shared" si="42"/>
        <v>0</v>
      </c>
      <c r="AA73" s="63">
        <f t="shared" si="43"/>
        <v>0</v>
      </c>
      <c r="AB73" s="65">
        <f t="shared" si="44"/>
        <v>-7.1232876712328766E-2</v>
      </c>
      <c r="AC73" s="62">
        <v>0</v>
      </c>
      <c r="AD73" s="8">
        <f t="shared" si="45"/>
        <v>0</v>
      </c>
      <c r="AE73" s="8">
        <f t="shared" si="46"/>
        <v>0</v>
      </c>
      <c r="AF73" s="8">
        <v>0</v>
      </c>
      <c r="AG73" s="8">
        <f t="shared" si="47"/>
        <v>0</v>
      </c>
      <c r="AH73" s="63">
        <f t="shared" si="48"/>
        <v>0</v>
      </c>
      <c r="AI73" s="64">
        <f t="shared" si="49"/>
        <v>0</v>
      </c>
      <c r="AJ73" s="62">
        <v>0</v>
      </c>
      <c r="AK73" s="8">
        <f t="shared" si="50"/>
        <v>0</v>
      </c>
      <c r="AL73" s="8">
        <f t="shared" si="51"/>
        <v>0</v>
      </c>
      <c r="AM73" s="8">
        <v>0</v>
      </c>
      <c r="AN73" s="8">
        <f t="shared" si="52"/>
        <v>0</v>
      </c>
      <c r="AO73" s="63">
        <f t="shared" si="53"/>
        <v>0</v>
      </c>
      <c r="AP73" s="64">
        <f t="shared" si="54"/>
        <v>0</v>
      </c>
      <c r="AQ73" s="66">
        <v>0</v>
      </c>
      <c r="AR73" s="37">
        <f t="shared" si="55"/>
        <v>0</v>
      </c>
      <c r="AS73" s="37">
        <f t="shared" si="56"/>
        <v>0</v>
      </c>
      <c r="AT73" s="37">
        <v>0</v>
      </c>
      <c r="AU73" s="37">
        <f t="shared" si="57"/>
        <v>0</v>
      </c>
      <c r="AV73" s="67">
        <f t="shared" si="58"/>
        <v>0</v>
      </c>
      <c r="AW73" s="64">
        <f t="shared" si="59"/>
        <v>0</v>
      </c>
      <c r="AX73" s="85">
        <v>20</v>
      </c>
      <c r="AY73" s="86">
        <v>10</v>
      </c>
      <c r="AZ73" s="87" t="s">
        <v>676</v>
      </c>
      <c r="BA73" s="80" t="s">
        <v>469</v>
      </c>
    </row>
    <row r="74" spans="1:53" ht="45">
      <c r="A74" s="88" t="s">
        <v>464</v>
      </c>
      <c r="B74" s="88" t="s">
        <v>677</v>
      </c>
      <c r="C74" s="88" t="s">
        <v>677</v>
      </c>
      <c r="D74" s="135" t="s">
        <v>600</v>
      </c>
      <c r="E74" s="89" t="s">
        <v>472</v>
      </c>
      <c r="F74" s="89" t="s">
        <v>477</v>
      </c>
      <c r="G74" s="90">
        <v>42223</v>
      </c>
      <c r="H74" s="91">
        <v>8654.15</v>
      </c>
      <c r="I74" s="92">
        <f t="shared" si="30"/>
        <v>23.709999999999997</v>
      </c>
      <c r="J74" s="92">
        <f t="shared" si="31"/>
        <v>721.17916666666667</v>
      </c>
      <c r="K74" s="92">
        <v>8654.15</v>
      </c>
      <c r="L74" s="92">
        <f t="shared" si="32"/>
        <v>23.709999999999997</v>
      </c>
      <c r="M74" s="93">
        <f t="shared" si="33"/>
        <v>721.17916666666667</v>
      </c>
      <c r="N74" s="64">
        <f t="shared" si="34"/>
        <v>0</v>
      </c>
      <c r="O74" s="62">
        <v>0</v>
      </c>
      <c r="P74" s="8">
        <f t="shared" si="35"/>
        <v>0</v>
      </c>
      <c r="Q74" s="8">
        <f t="shared" si="36"/>
        <v>0</v>
      </c>
      <c r="R74" s="8">
        <v>0</v>
      </c>
      <c r="S74" s="8">
        <f t="shared" si="37"/>
        <v>0</v>
      </c>
      <c r="T74" s="63">
        <f t="shared" si="38"/>
        <v>0</v>
      </c>
      <c r="U74" s="65">
        <f t="shared" si="39"/>
        <v>0</v>
      </c>
      <c r="V74" s="62">
        <v>5372.8</v>
      </c>
      <c r="W74" s="8">
        <f t="shared" si="40"/>
        <v>14.72</v>
      </c>
      <c r="X74" s="8">
        <f t="shared" si="41"/>
        <v>447.73333333333335</v>
      </c>
      <c r="Y74" s="8">
        <v>5372.8</v>
      </c>
      <c r="Z74" s="8">
        <f t="shared" si="42"/>
        <v>14.72</v>
      </c>
      <c r="AA74" s="63">
        <f t="shared" si="43"/>
        <v>447.73333333333335</v>
      </c>
      <c r="AB74" s="65">
        <f t="shared" si="44"/>
        <v>0</v>
      </c>
      <c r="AC74" s="62">
        <v>3281.35</v>
      </c>
      <c r="AD74" s="8">
        <f t="shared" si="45"/>
        <v>8.99</v>
      </c>
      <c r="AE74" s="8">
        <f t="shared" si="46"/>
        <v>273.44583333333333</v>
      </c>
      <c r="AF74" s="8">
        <v>3281.35</v>
      </c>
      <c r="AG74" s="8">
        <f t="shared" si="47"/>
        <v>8.99</v>
      </c>
      <c r="AH74" s="63">
        <f t="shared" si="48"/>
        <v>273.44583333333333</v>
      </c>
      <c r="AI74" s="64">
        <f t="shared" si="49"/>
        <v>0</v>
      </c>
      <c r="AJ74" s="62">
        <v>0</v>
      </c>
      <c r="AK74" s="8">
        <f t="shared" si="50"/>
        <v>0</v>
      </c>
      <c r="AL74" s="8">
        <f t="shared" si="51"/>
        <v>0</v>
      </c>
      <c r="AM74" s="8">
        <v>0</v>
      </c>
      <c r="AN74" s="8">
        <f t="shared" si="52"/>
        <v>0</v>
      </c>
      <c r="AO74" s="63">
        <f t="shared" si="53"/>
        <v>0</v>
      </c>
      <c r="AP74" s="64">
        <f t="shared" si="54"/>
        <v>0</v>
      </c>
      <c r="AQ74" s="66">
        <v>0</v>
      </c>
      <c r="AR74" s="37">
        <f t="shared" si="55"/>
        <v>0</v>
      </c>
      <c r="AS74" s="37">
        <f t="shared" si="56"/>
        <v>0</v>
      </c>
      <c r="AT74" s="37">
        <v>0</v>
      </c>
      <c r="AU74" s="37">
        <f t="shared" si="57"/>
        <v>0</v>
      </c>
      <c r="AV74" s="67">
        <f t="shared" si="58"/>
        <v>0</v>
      </c>
      <c r="AW74" s="64">
        <f t="shared" si="59"/>
        <v>0</v>
      </c>
      <c r="AX74" s="94" t="s">
        <v>482</v>
      </c>
      <c r="AY74" s="95">
        <v>14</v>
      </c>
      <c r="AZ74" s="89" t="s">
        <v>601</v>
      </c>
      <c r="BA74" s="89" t="s">
        <v>469</v>
      </c>
    </row>
    <row r="75" spans="1:53" ht="135">
      <c r="A75" s="137" t="s">
        <v>464</v>
      </c>
      <c r="B75" s="137" t="s">
        <v>678</v>
      </c>
      <c r="C75" s="137" t="s">
        <v>678</v>
      </c>
      <c r="D75" s="149" t="s">
        <v>679</v>
      </c>
      <c r="E75" s="138" t="s">
        <v>155</v>
      </c>
      <c r="F75" s="138" t="s">
        <v>522</v>
      </c>
      <c r="G75" s="139">
        <v>42228</v>
      </c>
      <c r="H75" s="143">
        <v>0</v>
      </c>
      <c r="I75" s="150">
        <f t="shared" si="30"/>
        <v>0</v>
      </c>
      <c r="J75" s="150">
        <f t="shared" si="31"/>
        <v>0</v>
      </c>
      <c r="K75" s="150">
        <v>0</v>
      </c>
      <c r="L75" s="150">
        <f t="shared" si="32"/>
        <v>0</v>
      </c>
      <c r="M75" s="151">
        <f t="shared" si="33"/>
        <v>0</v>
      </c>
      <c r="N75" s="64">
        <f t="shared" si="34"/>
        <v>0</v>
      </c>
      <c r="O75" s="62">
        <v>0</v>
      </c>
      <c r="P75" s="8">
        <f t="shared" si="35"/>
        <v>0</v>
      </c>
      <c r="Q75" s="8">
        <f t="shared" si="36"/>
        <v>0</v>
      </c>
      <c r="R75" s="8">
        <v>0</v>
      </c>
      <c r="S75" s="8">
        <f t="shared" si="37"/>
        <v>0</v>
      </c>
      <c r="T75" s="63">
        <f t="shared" si="38"/>
        <v>0</v>
      </c>
      <c r="U75" s="65">
        <f t="shared" si="39"/>
        <v>0</v>
      </c>
      <c r="V75" s="62">
        <v>0</v>
      </c>
      <c r="W75" s="8">
        <f t="shared" si="40"/>
        <v>0</v>
      </c>
      <c r="X75" s="8">
        <f t="shared" si="41"/>
        <v>0</v>
      </c>
      <c r="Y75" s="8">
        <v>0</v>
      </c>
      <c r="Z75" s="8">
        <f t="shared" si="42"/>
        <v>0</v>
      </c>
      <c r="AA75" s="63">
        <f t="shared" si="43"/>
        <v>0</v>
      </c>
      <c r="AB75" s="65">
        <f t="shared" si="44"/>
        <v>0</v>
      </c>
      <c r="AC75" s="62">
        <v>0</v>
      </c>
      <c r="AD75" s="8">
        <f t="shared" si="45"/>
        <v>0</v>
      </c>
      <c r="AE75" s="8">
        <f t="shared" si="46"/>
        <v>0</v>
      </c>
      <c r="AF75" s="8">
        <v>0</v>
      </c>
      <c r="AG75" s="8">
        <f t="shared" si="47"/>
        <v>0</v>
      </c>
      <c r="AH75" s="63">
        <f t="shared" si="48"/>
        <v>0</v>
      </c>
      <c r="AI75" s="64">
        <f t="shared" si="49"/>
        <v>0</v>
      </c>
      <c r="AJ75" s="62">
        <v>0</v>
      </c>
      <c r="AK75" s="8">
        <f t="shared" si="50"/>
        <v>0</v>
      </c>
      <c r="AL75" s="8">
        <f t="shared" si="51"/>
        <v>0</v>
      </c>
      <c r="AM75" s="8">
        <v>0</v>
      </c>
      <c r="AN75" s="8">
        <f t="shared" si="52"/>
        <v>0</v>
      </c>
      <c r="AO75" s="63">
        <f t="shared" si="53"/>
        <v>0</v>
      </c>
      <c r="AP75" s="64">
        <f t="shared" si="54"/>
        <v>0</v>
      </c>
      <c r="AQ75" s="66">
        <v>0</v>
      </c>
      <c r="AR75" s="37">
        <f t="shared" si="55"/>
        <v>0</v>
      </c>
      <c r="AS75" s="37">
        <f t="shared" si="56"/>
        <v>0</v>
      </c>
      <c r="AT75" s="37">
        <v>0</v>
      </c>
      <c r="AU75" s="37">
        <f t="shared" si="57"/>
        <v>0</v>
      </c>
      <c r="AV75" s="67">
        <f t="shared" si="58"/>
        <v>0</v>
      </c>
      <c r="AW75" s="64">
        <f t="shared" si="59"/>
        <v>0</v>
      </c>
      <c r="AX75" s="140">
        <v>7</v>
      </c>
      <c r="AY75" s="141">
        <v>7</v>
      </c>
      <c r="AZ75" s="138" t="s">
        <v>680</v>
      </c>
      <c r="BA75" s="138" t="s">
        <v>469</v>
      </c>
    </row>
    <row r="76" spans="1:53">
      <c r="A76" s="7" t="s">
        <v>464</v>
      </c>
      <c r="B76" s="7" t="s">
        <v>681</v>
      </c>
      <c r="C76" s="7" t="s">
        <v>681</v>
      </c>
      <c r="D76" s="77" t="s">
        <v>682</v>
      </c>
      <c r="E76" s="6" t="s">
        <v>472</v>
      </c>
      <c r="F76" s="6" t="s">
        <v>477</v>
      </c>
      <c r="G76" s="78">
        <v>42228</v>
      </c>
      <c r="H76" s="62">
        <v>2146.1999999999998</v>
      </c>
      <c r="I76" s="8">
        <f t="shared" si="30"/>
        <v>5.88</v>
      </c>
      <c r="J76" s="8">
        <f t="shared" si="31"/>
        <v>178.85</v>
      </c>
      <c r="K76" s="8">
        <v>2310.4499999999998</v>
      </c>
      <c r="L76" s="8">
        <f t="shared" si="32"/>
        <v>6.3299999999999992</v>
      </c>
      <c r="M76" s="63">
        <f t="shared" si="33"/>
        <v>192.53749999999999</v>
      </c>
      <c r="N76" s="64">
        <f t="shared" si="34"/>
        <v>0.44999999999999929</v>
      </c>
      <c r="O76" s="62">
        <v>0</v>
      </c>
      <c r="P76" s="8">
        <f t="shared" si="35"/>
        <v>0</v>
      </c>
      <c r="Q76" s="8">
        <f t="shared" si="36"/>
        <v>0</v>
      </c>
      <c r="R76" s="8">
        <v>0</v>
      </c>
      <c r="S76" s="8">
        <f t="shared" si="37"/>
        <v>0</v>
      </c>
      <c r="T76" s="63">
        <f t="shared" si="38"/>
        <v>0</v>
      </c>
      <c r="U76" s="65">
        <f t="shared" si="39"/>
        <v>0</v>
      </c>
      <c r="V76" s="62">
        <f>976.72+719.12</f>
        <v>1695.8400000000001</v>
      </c>
      <c r="W76" s="8">
        <f t="shared" si="40"/>
        <v>4.6461369863013706</v>
      </c>
      <c r="X76" s="8">
        <f t="shared" si="41"/>
        <v>141.32000000000002</v>
      </c>
      <c r="Y76" s="8">
        <f>1368.75+324.85+164.25</f>
        <v>1857.85</v>
      </c>
      <c r="Z76" s="8">
        <f t="shared" si="42"/>
        <v>5.09</v>
      </c>
      <c r="AA76" s="63">
        <f t="shared" si="43"/>
        <v>154.82083333333333</v>
      </c>
      <c r="AB76" s="65">
        <f t="shared" si="44"/>
        <v>0.44386301369862924</v>
      </c>
      <c r="AC76" s="62">
        <v>450.36</v>
      </c>
      <c r="AD76" s="8">
        <f t="shared" si="45"/>
        <v>1.2338630136986302</v>
      </c>
      <c r="AE76" s="8">
        <f t="shared" si="46"/>
        <v>37.53</v>
      </c>
      <c r="AF76" s="8">
        <f>452.6</f>
        <v>452.6</v>
      </c>
      <c r="AG76" s="8">
        <f t="shared" si="47"/>
        <v>1.24</v>
      </c>
      <c r="AH76" s="63">
        <f t="shared" si="48"/>
        <v>37.716666666666669</v>
      </c>
      <c r="AI76" s="64">
        <f t="shared" si="49"/>
        <v>6.1369863013698289E-3</v>
      </c>
      <c r="AJ76" s="62">
        <v>0</v>
      </c>
      <c r="AK76" s="8">
        <f t="shared" si="50"/>
        <v>0</v>
      </c>
      <c r="AL76" s="8">
        <f t="shared" si="51"/>
        <v>0</v>
      </c>
      <c r="AM76" s="8">
        <v>0</v>
      </c>
      <c r="AN76" s="8">
        <f t="shared" si="52"/>
        <v>0</v>
      </c>
      <c r="AO76" s="63">
        <f t="shared" si="53"/>
        <v>0</v>
      </c>
      <c r="AP76" s="64">
        <f t="shared" si="54"/>
        <v>0</v>
      </c>
      <c r="AQ76" s="66">
        <v>0</v>
      </c>
      <c r="AR76" s="37">
        <f t="shared" si="55"/>
        <v>0</v>
      </c>
      <c r="AS76" s="37">
        <f t="shared" si="56"/>
        <v>0</v>
      </c>
      <c r="AT76" s="37">
        <v>0</v>
      </c>
      <c r="AU76" s="37">
        <f t="shared" si="57"/>
        <v>0</v>
      </c>
      <c r="AV76" s="67">
        <f t="shared" si="58"/>
        <v>0</v>
      </c>
      <c r="AW76" s="64">
        <f t="shared" si="59"/>
        <v>0</v>
      </c>
      <c r="AX76" s="68">
        <v>10</v>
      </c>
      <c r="AY76" s="69">
        <v>10</v>
      </c>
      <c r="AZ76" s="6"/>
      <c r="BA76" s="6" t="s">
        <v>469</v>
      </c>
    </row>
    <row r="77" spans="1:53" ht="45">
      <c r="A77" s="7" t="s">
        <v>464</v>
      </c>
      <c r="B77" s="7" t="s">
        <v>683</v>
      </c>
      <c r="C77" s="7" t="s">
        <v>683</v>
      </c>
      <c r="D77" s="6" t="s">
        <v>684</v>
      </c>
      <c r="E77" s="6" t="s">
        <v>685</v>
      </c>
      <c r="F77" s="6" t="s">
        <v>686</v>
      </c>
      <c r="G77" s="71">
        <v>42228</v>
      </c>
      <c r="H77" s="62">
        <v>321.2</v>
      </c>
      <c r="I77" s="8">
        <f t="shared" si="30"/>
        <v>0.88</v>
      </c>
      <c r="J77" s="8">
        <f t="shared" si="31"/>
        <v>26.766666666666666</v>
      </c>
      <c r="K77" s="8">
        <v>321.2</v>
      </c>
      <c r="L77" s="8">
        <f t="shared" si="32"/>
        <v>0.88</v>
      </c>
      <c r="M77" s="63">
        <f t="shared" si="33"/>
        <v>26.766666666666666</v>
      </c>
      <c r="N77" s="64">
        <f t="shared" si="34"/>
        <v>0</v>
      </c>
      <c r="O77" s="62">
        <v>0</v>
      </c>
      <c r="P77" s="8">
        <f t="shared" si="35"/>
        <v>0</v>
      </c>
      <c r="Q77" s="8">
        <f t="shared" si="36"/>
        <v>0</v>
      </c>
      <c r="R77" s="8">
        <v>0</v>
      </c>
      <c r="S77" s="8">
        <f t="shared" si="37"/>
        <v>0</v>
      </c>
      <c r="T77" s="63">
        <f t="shared" si="38"/>
        <v>0</v>
      </c>
      <c r="U77" s="65">
        <f t="shared" si="39"/>
        <v>0</v>
      </c>
      <c r="V77" s="62">
        <v>321.2</v>
      </c>
      <c r="W77" s="8">
        <f t="shared" si="40"/>
        <v>0.88</v>
      </c>
      <c r="X77" s="8">
        <f t="shared" si="41"/>
        <v>26.766666666666666</v>
      </c>
      <c r="Y77" s="8">
        <v>321.2</v>
      </c>
      <c r="Z77" s="8">
        <f t="shared" si="42"/>
        <v>0.88</v>
      </c>
      <c r="AA77" s="63">
        <f t="shared" si="43"/>
        <v>26.766666666666666</v>
      </c>
      <c r="AB77" s="65">
        <f t="shared" si="44"/>
        <v>0</v>
      </c>
      <c r="AC77" s="62">
        <v>0</v>
      </c>
      <c r="AD77" s="8">
        <f t="shared" si="45"/>
        <v>0</v>
      </c>
      <c r="AE77" s="8">
        <f t="shared" si="46"/>
        <v>0</v>
      </c>
      <c r="AF77" s="8">
        <v>0</v>
      </c>
      <c r="AG77" s="8">
        <f t="shared" si="47"/>
        <v>0</v>
      </c>
      <c r="AH77" s="63">
        <f t="shared" si="48"/>
        <v>0</v>
      </c>
      <c r="AI77" s="64">
        <f t="shared" si="49"/>
        <v>0</v>
      </c>
      <c r="AJ77" s="62">
        <v>0</v>
      </c>
      <c r="AK77" s="8">
        <f t="shared" si="50"/>
        <v>0</v>
      </c>
      <c r="AL77" s="8">
        <f t="shared" si="51"/>
        <v>0</v>
      </c>
      <c r="AM77" s="8">
        <v>0</v>
      </c>
      <c r="AN77" s="8">
        <f t="shared" si="52"/>
        <v>0</v>
      </c>
      <c r="AO77" s="63">
        <f t="shared" si="53"/>
        <v>0</v>
      </c>
      <c r="AP77" s="64">
        <f t="shared" si="54"/>
        <v>0</v>
      </c>
      <c r="AQ77" s="66">
        <v>5365.5</v>
      </c>
      <c r="AR77" s="37">
        <f t="shared" si="55"/>
        <v>14.7</v>
      </c>
      <c r="AS77" s="37">
        <f t="shared" si="56"/>
        <v>447.125</v>
      </c>
      <c r="AT77" s="37">
        <v>5365.5</v>
      </c>
      <c r="AU77" s="37">
        <f t="shared" si="57"/>
        <v>14.7</v>
      </c>
      <c r="AV77" s="67">
        <f t="shared" si="58"/>
        <v>447.125</v>
      </c>
      <c r="AW77" s="64">
        <f t="shared" si="59"/>
        <v>0</v>
      </c>
      <c r="AX77" s="68">
        <v>100</v>
      </c>
      <c r="AY77" s="69">
        <v>100</v>
      </c>
      <c r="AZ77" s="6" t="s">
        <v>687</v>
      </c>
      <c r="BA77" s="6" t="s">
        <v>469</v>
      </c>
    </row>
    <row r="78" spans="1:53" ht="30">
      <c r="A78" s="7" t="s">
        <v>464</v>
      </c>
      <c r="B78" s="7" t="s">
        <v>688</v>
      </c>
      <c r="C78" s="7" t="s">
        <v>688</v>
      </c>
      <c r="D78" s="6" t="s">
        <v>689</v>
      </c>
      <c r="E78" s="6" t="s">
        <v>15</v>
      </c>
      <c r="F78" s="6" t="s">
        <v>473</v>
      </c>
      <c r="G78" s="78">
        <v>42237</v>
      </c>
      <c r="H78" s="62">
        <v>0</v>
      </c>
      <c r="I78" s="8">
        <f t="shared" si="30"/>
        <v>0</v>
      </c>
      <c r="J78" s="8">
        <f t="shared" si="31"/>
        <v>0</v>
      </c>
      <c r="K78" s="8">
        <v>5.2</v>
      </c>
      <c r="L78" s="8">
        <f t="shared" si="32"/>
        <v>1.4246575342465755E-2</v>
      </c>
      <c r="M78" s="63">
        <f t="shared" si="33"/>
        <v>0.43333333333333335</v>
      </c>
      <c r="N78" s="64">
        <f t="shared" si="34"/>
        <v>1.4246575342465755E-2</v>
      </c>
      <c r="O78" s="62">
        <v>0</v>
      </c>
      <c r="P78" s="8">
        <f t="shared" si="35"/>
        <v>0</v>
      </c>
      <c r="Q78" s="8">
        <f t="shared" si="36"/>
        <v>0</v>
      </c>
      <c r="R78" s="8">
        <v>0</v>
      </c>
      <c r="S78" s="8">
        <f t="shared" si="37"/>
        <v>0</v>
      </c>
      <c r="T78" s="63">
        <f t="shared" si="38"/>
        <v>0</v>
      </c>
      <c r="U78" s="65">
        <f t="shared" si="39"/>
        <v>0</v>
      </c>
      <c r="V78" s="62">
        <v>0</v>
      </c>
      <c r="W78" s="8">
        <f t="shared" si="40"/>
        <v>0</v>
      </c>
      <c r="X78" s="8">
        <f t="shared" si="41"/>
        <v>0</v>
      </c>
      <c r="Y78" s="8">
        <v>5.2</v>
      </c>
      <c r="Z78" s="8">
        <f t="shared" si="42"/>
        <v>1.4246575342465755E-2</v>
      </c>
      <c r="AA78" s="63">
        <f t="shared" si="43"/>
        <v>0.43333333333333335</v>
      </c>
      <c r="AB78" s="65">
        <f t="shared" si="44"/>
        <v>1.4246575342465755E-2</v>
      </c>
      <c r="AC78" s="62">
        <v>0</v>
      </c>
      <c r="AD78" s="8">
        <f t="shared" si="45"/>
        <v>0</v>
      </c>
      <c r="AE78" s="8">
        <f t="shared" si="46"/>
        <v>0</v>
      </c>
      <c r="AF78" s="8">
        <v>0</v>
      </c>
      <c r="AG78" s="8">
        <f t="shared" si="47"/>
        <v>0</v>
      </c>
      <c r="AH78" s="63">
        <f t="shared" si="48"/>
        <v>0</v>
      </c>
      <c r="AI78" s="64">
        <f t="shared" si="49"/>
        <v>0</v>
      </c>
      <c r="AJ78" s="62">
        <v>0</v>
      </c>
      <c r="AK78" s="8">
        <f t="shared" si="50"/>
        <v>0</v>
      </c>
      <c r="AL78" s="8">
        <f t="shared" si="51"/>
        <v>0</v>
      </c>
      <c r="AM78" s="8">
        <v>0</v>
      </c>
      <c r="AN78" s="8">
        <f t="shared" si="52"/>
        <v>0</v>
      </c>
      <c r="AO78" s="63">
        <f t="shared" si="53"/>
        <v>0</v>
      </c>
      <c r="AP78" s="64">
        <f t="shared" si="54"/>
        <v>0</v>
      </c>
      <c r="AQ78" s="66">
        <v>0</v>
      </c>
      <c r="AR78" s="37">
        <f t="shared" si="55"/>
        <v>0</v>
      </c>
      <c r="AS78" s="37">
        <f t="shared" si="56"/>
        <v>0</v>
      </c>
      <c r="AT78" s="37">
        <v>0</v>
      </c>
      <c r="AU78" s="37">
        <f t="shared" si="57"/>
        <v>0</v>
      </c>
      <c r="AV78" s="67">
        <f t="shared" si="58"/>
        <v>0</v>
      </c>
      <c r="AW78" s="64">
        <f t="shared" si="59"/>
        <v>0</v>
      </c>
      <c r="AX78" s="68">
        <v>3</v>
      </c>
      <c r="AY78" s="69">
        <v>3</v>
      </c>
      <c r="AZ78" s="6" t="s">
        <v>690</v>
      </c>
      <c r="BA78" s="6" t="s">
        <v>469</v>
      </c>
    </row>
    <row r="79" spans="1:53" ht="30">
      <c r="A79" s="88" t="s">
        <v>464</v>
      </c>
      <c r="B79" s="88" t="s">
        <v>691</v>
      </c>
      <c r="C79" s="88" t="s">
        <v>691</v>
      </c>
      <c r="D79" s="89" t="s">
        <v>692</v>
      </c>
      <c r="E79" s="89" t="s">
        <v>489</v>
      </c>
      <c r="F79" s="89" t="s">
        <v>514</v>
      </c>
      <c r="G79" s="90">
        <v>42275</v>
      </c>
      <c r="H79" s="91">
        <v>73.5</v>
      </c>
      <c r="I79" s="92">
        <f t="shared" si="30"/>
        <v>0.20136986301369864</v>
      </c>
      <c r="J79" s="92">
        <f t="shared" si="31"/>
        <v>6.125</v>
      </c>
      <c r="K79" s="92">
        <v>63.9</v>
      </c>
      <c r="L79" s="92">
        <f t="shared" si="32"/>
        <v>0.17506849315068493</v>
      </c>
      <c r="M79" s="93">
        <f t="shared" si="33"/>
        <v>5.3250000000000002</v>
      </c>
      <c r="N79" s="64">
        <f t="shared" si="34"/>
        <v>-2.6301369863013707E-2</v>
      </c>
      <c r="O79" s="62">
        <v>0</v>
      </c>
      <c r="P79" s="8">
        <f t="shared" si="35"/>
        <v>0</v>
      </c>
      <c r="Q79" s="8">
        <f t="shared" si="36"/>
        <v>0</v>
      </c>
      <c r="R79" s="8">
        <v>0</v>
      </c>
      <c r="S79" s="8">
        <f t="shared" si="37"/>
        <v>0</v>
      </c>
      <c r="T79" s="63">
        <f t="shared" si="38"/>
        <v>0</v>
      </c>
      <c r="U79" s="65">
        <f t="shared" si="39"/>
        <v>0</v>
      </c>
      <c r="V79" s="62">
        <v>73.5</v>
      </c>
      <c r="W79" s="8">
        <f t="shared" si="40"/>
        <v>0.20136986301369864</v>
      </c>
      <c r="X79" s="8">
        <f t="shared" si="41"/>
        <v>6.125</v>
      </c>
      <c r="Y79" s="8">
        <v>63.9</v>
      </c>
      <c r="Z79" s="8">
        <f t="shared" si="42"/>
        <v>0.17506849315068493</v>
      </c>
      <c r="AA79" s="63">
        <f t="shared" si="43"/>
        <v>5.3250000000000002</v>
      </c>
      <c r="AB79" s="65">
        <f t="shared" si="44"/>
        <v>-2.6301369863013707E-2</v>
      </c>
      <c r="AC79" s="62">
        <v>0</v>
      </c>
      <c r="AD79" s="8">
        <f t="shared" si="45"/>
        <v>0</v>
      </c>
      <c r="AE79" s="8">
        <f t="shared" si="46"/>
        <v>0</v>
      </c>
      <c r="AF79" s="8">
        <v>0</v>
      </c>
      <c r="AG79" s="8">
        <f t="shared" si="47"/>
        <v>0</v>
      </c>
      <c r="AH79" s="63">
        <f t="shared" si="48"/>
        <v>0</v>
      </c>
      <c r="AI79" s="64">
        <f t="shared" si="49"/>
        <v>0</v>
      </c>
      <c r="AJ79" s="62">
        <v>0</v>
      </c>
      <c r="AK79" s="8">
        <f t="shared" si="50"/>
        <v>0</v>
      </c>
      <c r="AL79" s="8">
        <f t="shared" si="51"/>
        <v>0</v>
      </c>
      <c r="AM79" s="8">
        <v>0</v>
      </c>
      <c r="AN79" s="8">
        <f t="shared" si="52"/>
        <v>0</v>
      </c>
      <c r="AO79" s="63">
        <f t="shared" si="53"/>
        <v>0</v>
      </c>
      <c r="AP79" s="64">
        <f t="shared" si="54"/>
        <v>0</v>
      </c>
      <c r="AQ79" s="109">
        <v>74.2</v>
      </c>
      <c r="AR79" s="110">
        <f t="shared" si="55"/>
        <v>0.20328767123287672</v>
      </c>
      <c r="AS79" s="110">
        <f t="shared" si="56"/>
        <v>6.1833333333333336</v>
      </c>
      <c r="AT79" s="110">
        <v>63.9</v>
      </c>
      <c r="AU79" s="110">
        <f t="shared" si="57"/>
        <v>0.17506849315068493</v>
      </c>
      <c r="AV79" s="111">
        <f t="shared" si="58"/>
        <v>5.3250000000000002</v>
      </c>
      <c r="AW79" s="64">
        <f t="shared" si="59"/>
        <v>-2.8219178082191793E-2</v>
      </c>
      <c r="AX79" s="94">
        <v>20</v>
      </c>
      <c r="AY79" s="95">
        <v>3</v>
      </c>
      <c r="AZ79" s="89" t="s">
        <v>693</v>
      </c>
      <c r="BA79" s="89" t="s">
        <v>469</v>
      </c>
    </row>
    <row r="80" spans="1:53" ht="60">
      <c r="A80" s="7" t="s">
        <v>464</v>
      </c>
      <c r="B80" s="7" t="s">
        <v>694</v>
      </c>
      <c r="C80" s="7" t="s">
        <v>694</v>
      </c>
      <c r="D80" s="6" t="s">
        <v>695</v>
      </c>
      <c r="E80" s="6" t="s">
        <v>489</v>
      </c>
      <c r="F80" s="6" t="s">
        <v>467</v>
      </c>
      <c r="G80" s="71">
        <v>42278</v>
      </c>
      <c r="H80" s="62">
        <f>80/2</f>
        <v>40</v>
      </c>
      <c r="I80" s="8">
        <f t="shared" si="30"/>
        <v>0.1095890410958904</v>
      </c>
      <c r="J80" s="8">
        <f t="shared" si="31"/>
        <v>3.3333333333333335</v>
      </c>
      <c r="K80" s="8">
        <f>35.22/2</f>
        <v>17.61</v>
      </c>
      <c r="L80" s="8">
        <f t="shared" si="32"/>
        <v>4.824657534246575E-2</v>
      </c>
      <c r="M80" s="63">
        <f t="shared" si="33"/>
        <v>1.4675</v>
      </c>
      <c r="N80" s="64">
        <f t="shared" si="34"/>
        <v>-6.1342465753424655E-2</v>
      </c>
      <c r="O80" s="62">
        <v>0</v>
      </c>
      <c r="P80" s="8">
        <f t="shared" si="35"/>
        <v>0</v>
      </c>
      <c r="Q80" s="8">
        <f t="shared" si="36"/>
        <v>0</v>
      </c>
      <c r="R80" s="8">
        <v>0</v>
      </c>
      <c r="S80" s="8">
        <f t="shared" si="37"/>
        <v>0</v>
      </c>
      <c r="T80" s="63">
        <f t="shared" si="38"/>
        <v>0</v>
      </c>
      <c r="U80" s="65">
        <f t="shared" si="39"/>
        <v>0</v>
      </c>
      <c r="V80" s="62">
        <f>80/2</f>
        <v>40</v>
      </c>
      <c r="W80" s="8">
        <f t="shared" si="40"/>
        <v>0.1095890410958904</v>
      </c>
      <c r="X80" s="8">
        <f t="shared" si="41"/>
        <v>3.3333333333333335</v>
      </c>
      <c r="Y80" s="8">
        <f>35.22/2</f>
        <v>17.61</v>
      </c>
      <c r="Z80" s="8">
        <f t="shared" si="42"/>
        <v>4.824657534246575E-2</v>
      </c>
      <c r="AA80" s="63">
        <f t="shared" si="43"/>
        <v>1.4675</v>
      </c>
      <c r="AB80" s="65">
        <f t="shared" si="44"/>
        <v>-6.1342465753424655E-2</v>
      </c>
      <c r="AC80" s="62">
        <v>0</v>
      </c>
      <c r="AD80" s="8">
        <f t="shared" si="45"/>
        <v>0</v>
      </c>
      <c r="AE80" s="8">
        <f t="shared" si="46"/>
        <v>0</v>
      </c>
      <c r="AF80" s="8">
        <v>0</v>
      </c>
      <c r="AG80" s="8">
        <f t="shared" si="47"/>
        <v>0</v>
      </c>
      <c r="AH80" s="63">
        <f t="shared" si="48"/>
        <v>0</v>
      </c>
      <c r="AI80" s="64">
        <f t="shared" si="49"/>
        <v>0</v>
      </c>
      <c r="AJ80" s="62">
        <v>0</v>
      </c>
      <c r="AK80" s="8">
        <f t="shared" si="50"/>
        <v>0</v>
      </c>
      <c r="AL80" s="8">
        <f t="shared" si="51"/>
        <v>0</v>
      </c>
      <c r="AM80" s="8">
        <v>0</v>
      </c>
      <c r="AN80" s="8">
        <f t="shared" si="52"/>
        <v>0</v>
      </c>
      <c r="AO80" s="63">
        <f t="shared" si="53"/>
        <v>0</v>
      </c>
      <c r="AP80" s="64">
        <f t="shared" si="54"/>
        <v>0</v>
      </c>
      <c r="AQ80" s="66">
        <f>80/2</f>
        <v>40</v>
      </c>
      <c r="AR80" s="37">
        <f t="shared" si="55"/>
        <v>0.1095890410958904</v>
      </c>
      <c r="AS80" s="37">
        <f t="shared" si="56"/>
        <v>3.3333333333333335</v>
      </c>
      <c r="AT80" s="37">
        <f>35.22/2</f>
        <v>17.61</v>
      </c>
      <c r="AU80" s="37">
        <f t="shared" si="57"/>
        <v>4.824657534246575E-2</v>
      </c>
      <c r="AV80" s="67">
        <f t="shared" si="58"/>
        <v>1.4675</v>
      </c>
      <c r="AW80" s="64">
        <f t="shared" si="59"/>
        <v>-6.1342465753424655E-2</v>
      </c>
      <c r="AX80" s="68" t="s">
        <v>482</v>
      </c>
      <c r="AY80" s="69">
        <v>15</v>
      </c>
      <c r="AZ80" s="6" t="s">
        <v>696</v>
      </c>
      <c r="BA80" s="6" t="s">
        <v>469</v>
      </c>
    </row>
    <row r="81" spans="1:53" ht="60">
      <c r="A81" s="115" t="s">
        <v>464</v>
      </c>
      <c r="B81" s="115" t="s">
        <v>697</v>
      </c>
      <c r="C81" s="115" t="s">
        <v>697</v>
      </c>
      <c r="D81" s="60" t="s">
        <v>698</v>
      </c>
      <c r="E81" s="60" t="s">
        <v>489</v>
      </c>
      <c r="F81" s="60" t="s">
        <v>467</v>
      </c>
      <c r="G81" s="116">
        <v>42284</v>
      </c>
      <c r="H81" s="117">
        <f>13.32+3338+119+0.07</f>
        <v>3470.3900000000003</v>
      </c>
      <c r="I81" s="118">
        <f t="shared" si="30"/>
        <v>9.5079178082191795</v>
      </c>
      <c r="J81" s="118">
        <f t="shared" si="31"/>
        <v>289.19916666666671</v>
      </c>
      <c r="K81" s="118">
        <f>13.32+3338+104.5+0.07</f>
        <v>3455.8900000000003</v>
      </c>
      <c r="L81" s="118">
        <f t="shared" si="32"/>
        <v>9.4681917808219183</v>
      </c>
      <c r="M81" s="119">
        <f t="shared" si="33"/>
        <v>287.99083333333334</v>
      </c>
      <c r="N81" s="64">
        <f t="shared" si="34"/>
        <v>-3.9726027397261277E-2</v>
      </c>
      <c r="O81" s="62">
        <v>7.0000000000000007E-2</v>
      </c>
      <c r="P81" s="8">
        <f t="shared" si="35"/>
        <v>1.9178082191780824E-4</v>
      </c>
      <c r="Q81" s="8">
        <f t="shared" si="36"/>
        <v>5.8333333333333336E-3</v>
      </c>
      <c r="R81" s="8">
        <v>7.0000000000000007E-2</v>
      </c>
      <c r="S81" s="8">
        <f t="shared" si="37"/>
        <v>1.9178082191780824E-4</v>
      </c>
      <c r="T81" s="63">
        <f t="shared" si="38"/>
        <v>5.8333333333333336E-3</v>
      </c>
      <c r="U81" s="65">
        <f t="shared" si="39"/>
        <v>0</v>
      </c>
      <c r="V81" s="62">
        <f>3338+119+13.3</f>
        <v>3470.3</v>
      </c>
      <c r="W81" s="8">
        <f t="shared" si="40"/>
        <v>9.5076712328767137</v>
      </c>
      <c r="X81" s="8">
        <f t="shared" si="41"/>
        <v>289.19166666666666</v>
      </c>
      <c r="Y81" s="8">
        <f>13.32+3338+104.5</f>
        <v>3455.82</v>
      </c>
      <c r="Z81" s="8">
        <f t="shared" si="42"/>
        <v>9.468</v>
      </c>
      <c r="AA81" s="63">
        <f t="shared" si="43"/>
        <v>287.98500000000001</v>
      </c>
      <c r="AB81" s="65">
        <f t="shared" si="44"/>
        <v>-3.9671232876713702E-2</v>
      </c>
      <c r="AC81" s="62">
        <v>0</v>
      </c>
      <c r="AD81" s="8">
        <f t="shared" si="45"/>
        <v>0</v>
      </c>
      <c r="AE81" s="8">
        <f t="shared" si="46"/>
        <v>0</v>
      </c>
      <c r="AF81" s="8">
        <v>0</v>
      </c>
      <c r="AG81" s="8">
        <f t="shared" si="47"/>
        <v>0</v>
      </c>
      <c r="AH81" s="63">
        <f t="shared" si="48"/>
        <v>0</v>
      </c>
      <c r="AI81" s="64">
        <f t="shared" si="49"/>
        <v>0</v>
      </c>
      <c r="AJ81" s="62">
        <v>0</v>
      </c>
      <c r="AK81" s="8">
        <f t="shared" si="50"/>
        <v>0</v>
      </c>
      <c r="AL81" s="8">
        <f t="shared" si="51"/>
        <v>0</v>
      </c>
      <c r="AM81" s="8">
        <v>0</v>
      </c>
      <c r="AN81" s="8">
        <f t="shared" si="52"/>
        <v>0</v>
      </c>
      <c r="AO81" s="63">
        <f t="shared" si="53"/>
        <v>0</v>
      </c>
      <c r="AP81" s="64">
        <f t="shared" si="54"/>
        <v>0</v>
      </c>
      <c r="AQ81" s="120">
        <f>238/2</f>
        <v>119</v>
      </c>
      <c r="AR81" s="121">
        <f t="shared" si="55"/>
        <v>0.32602739726027397</v>
      </c>
      <c r="AS81" s="121">
        <f t="shared" si="56"/>
        <v>9.9166666666666661</v>
      </c>
      <c r="AT81" s="121">
        <f>209/2</f>
        <v>104.5</v>
      </c>
      <c r="AU81" s="121">
        <f t="shared" si="57"/>
        <v>0.28630136986301369</v>
      </c>
      <c r="AV81" s="122">
        <f t="shared" si="58"/>
        <v>8.7083333333333339</v>
      </c>
      <c r="AW81" s="64">
        <f t="shared" si="59"/>
        <v>-3.9726027397260277E-2</v>
      </c>
      <c r="AX81" s="123" t="s">
        <v>482</v>
      </c>
      <c r="AY81" s="124">
        <v>17</v>
      </c>
      <c r="AZ81" s="60" t="s">
        <v>699</v>
      </c>
      <c r="BA81" s="60" t="s">
        <v>469</v>
      </c>
    </row>
    <row r="82" spans="1:53" ht="30">
      <c r="A82" s="7" t="s">
        <v>464</v>
      </c>
      <c r="B82" s="7" t="s">
        <v>700</v>
      </c>
      <c r="C82" s="7" t="s">
        <v>700</v>
      </c>
      <c r="D82" s="6" t="s">
        <v>701</v>
      </c>
      <c r="E82" s="6" t="s">
        <v>15</v>
      </c>
      <c r="F82" s="6" t="s">
        <v>477</v>
      </c>
      <c r="G82" s="71">
        <v>42285</v>
      </c>
      <c r="H82" s="62">
        <v>978.98</v>
      </c>
      <c r="I82" s="8">
        <f t="shared" si="30"/>
        <v>2.6821369863013698</v>
      </c>
      <c r="J82" s="8">
        <f t="shared" si="31"/>
        <v>81.581666666666663</v>
      </c>
      <c r="K82" s="8">
        <v>978.98</v>
      </c>
      <c r="L82" s="8">
        <f t="shared" si="32"/>
        <v>2.6821369863013698</v>
      </c>
      <c r="M82" s="63">
        <f t="shared" si="33"/>
        <v>81.581666666666663</v>
      </c>
      <c r="N82" s="64">
        <f t="shared" si="34"/>
        <v>0</v>
      </c>
      <c r="O82" s="62">
        <v>0</v>
      </c>
      <c r="P82" s="8">
        <f t="shared" si="35"/>
        <v>0</v>
      </c>
      <c r="Q82" s="8">
        <f t="shared" si="36"/>
        <v>0</v>
      </c>
      <c r="R82" s="8">
        <v>0</v>
      </c>
      <c r="S82" s="8">
        <f t="shared" si="37"/>
        <v>0</v>
      </c>
      <c r="T82" s="63">
        <f t="shared" si="38"/>
        <v>0</v>
      </c>
      <c r="U82" s="65">
        <f t="shared" si="39"/>
        <v>0</v>
      </c>
      <c r="V82" s="62">
        <v>978.98</v>
      </c>
      <c r="W82" s="8">
        <f t="shared" si="40"/>
        <v>2.6821369863013698</v>
      </c>
      <c r="X82" s="8">
        <f t="shared" si="41"/>
        <v>81.581666666666663</v>
      </c>
      <c r="Y82" s="8">
        <v>978.98</v>
      </c>
      <c r="Z82" s="8">
        <f t="shared" si="42"/>
        <v>2.6821369863013698</v>
      </c>
      <c r="AA82" s="63">
        <f t="shared" si="43"/>
        <v>81.581666666666663</v>
      </c>
      <c r="AB82" s="65">
        <f t="shared" si="44"/>
        <v>0</v>
      </c>
      <c r="AC82" s="62">
        <v>0</v>
      </c>
      <c r="AD82" s="8">
        <f t="shared" si="45"/>
        <v>0</v>
      </c>
      <c r="AE82" s="8">
        <f t="shared" si="46"/>
        <v>0</v>
      </c>
      <c r="AF82" s="8">
        <v>0</v>
      </c>
      <c r="AG82" s="8">
        <f t="shared" si="47"/>
        <v>0</v>
      </c>
      <c r="AH82" s="63">
        <f t="shared" si="48"/>
        <v>0</v>
      </c>
      <c r="AI82" s="64">
        <f t="shared" si="49"/>
        <v>0</v>
      </c>
      <c r="AJ82" s="62">
        <v>0</v>
      </c>
      <c r="AK82" s="8">
        <f t="shared" si="50"/>
        <v>0</v>
      </c>
      <c r="AL82" s="8">
        <f t="shared" si="51"/>
        <v>0</v>
      </c>
      <c r="AM82" s="8">
        <v>0</v>
      </c>
      <c r="AN82" s="8">
        <f t="shared" si="52"/>
        <v>0</v>
      </c>
      <c r="AO82" s="63">
        <f t="shared" si="53"/>
        <v>0</v>
      </c>
      <c r="AP82" s="64">
        <f t="shared" si="54"/>
        <v>0</v>
      </c>
      <c r="AQ82" s="66">
        <v>0</v>
      </c>
      <c r="AR82" s="37">
        <f t="shared" si="55"/>
        <v>0</v>
      </c>
      <c r="AS82" s="37">
        <f t="shared" si="56"/>
        <v>0</v>
      </c>
      <c r="AT82" s="37">
        <v>0</v>
      </c>
      <c r="AU82" s="37">
        <f t="shared" si="57"/>
        <v>0</v>
      </c>
      <c r="AV82" s="67">
        <f t="shared" si="58"/>
        <v>0</v>
      </c>
      <c r="AW82" s="64">
        <f t="shared" si="59"/>
        <v>0</v>
      </c>
      <c r="AX82" s="68" t="s">
        <v>482</v>
      </c>
      <c r="AY82" s="69">
        <v>14</v>
      </c>
      <c r="AZ82" s="6" t="s">
        <v>702</v>
      </c>
      <c r="BA82" s="6" t="s">
        <v>469</v>
      </c>
    </row>
    <row r="83" spans="1:53" ht="90">
      <c r="A83" s="79" t="s">
        <v>464</v>
      </c>
      <c r="B83" s="79" t="s">
        <v>703</v>
      </c>
      <c r="C83" s="79" t="s">
        <v>703</v>
      </c>
      <c r="D83" s="80" t="s">
        <v>704</v>
      </c>
      <c r="E83" s="80" t="s">
        <v>489</v>
      </c>
      <c r="F83" s="80" t="s">
        <v>522</v>
      </c>
      <c r="G83" s="81">
        <v>42289</v>
      </c>
      <c r="H83" s="82">
        <v>10.3</v>
      </c>
      <c r="I83" s="83">
        <f t="shared" si="30"/>
        <v>2.8219178082191782E-2</v>
      </c>
      <c r="J83" s="83">
        <f t="shared" si="31"/>
        <v>0.85833333333333339</v>
      </c>
      <c r="K83" s="83">
        <v>0.3</v>
      </c>
      <c r="L83" s="83">
        <f t="shared" si="32"/>
        <v>8.2191780821917802E-4</v>
      </c>
      <c r="M83" s="84">
        <f t="shared" si="33"/>
        <v>2.4999999999999998E-2</v>
      </c>
      <c r="N83" s="64">
        <f t="shared" si="34"/>
        <v>-2.7397260273972605E-2</v>
      </c>
      <c r="O83" s="62">
        <v>0</v>
      </c>
      <c r="P83" s="8">
        <f t="shared" si="35"/>
        <v>0</v>
      </c>
      <c r="Q83" s="8">
        <f t="shared" si="36"/>
        <v>0</v>
      </c>
      <c r="R83" s="8">
        <v>0</v>
      </c>
      <c r="S83" s="8">
        <f t="shared" si="37"/>
        <v>0</v>
      </c>
      <c r="T83" s="63">
        <f t="shared" si="38"/>
        <v>0</v>
      </c>
      <c r="U83" s="65">
        <f t="shared" si="39"/>
        <v>0</v>
      </c>
      <c r="V83" s="62">
        <v>10.3</v>
      </c>
      <c r="W83" s="8">
        <f t="shared" si="40"/>
        <v>2.8219178082191782E-2</v>
      </c>
      <c r="X83" s="8">
        <f t="shared" si="41"/>
        <v>0.85833333333333339</v>
      </c>
      <c r="Y83" s="8">
        <v>0.3</v>
      </c>
      <c r="Z83" s="8">
        <f t="shared" si="42"/>
        <v>8.2191780821917802E-4</v>
      </c>
      <c r="AA83" s="63">
        <f t="shared" si="43"/>
        <v>2.4999999999999998E-2</v>
      </c>
      <c r="AB83" s="65">
        <f t="shared" si="44"/>
        <v>-2.7397260273972605E-2</v>
      </c>
      <c r="AC83" s="62">
        <v>0</v>
      </c>
      <c r="AD83" s="8">
        <f t="shared" si="45"/>
        <v>0</v>
      </c>
      <c r="AE83" s="8">
        <f t="shared" si="46"/>
        <v>0</v>
      </c>
      <c r="AF83" s="8">
        <v>0</v>
      </c>
      <c r="AG83" s="8">
        <f t="shared" si="47"/>
        <v>0</v>
      </c>
      <c r="AH83" s="63">
        <f t="shared" si="48"/>
        <v>0</v>
      </c>
      <c r="AI83" s="64">
        <f t="shared" si="49"/>
        <v>0</v>
      </c>
      <c r="AJ83" s="62">
        <v>0</v>
      </c>
      <c r="AK83" s="8">
        <f t="shared" si="50"/>
        <v>0</v>
      </c>
      <c r="AL83" s="8">
        <f t="shared" si="51"/>
        <v>0</v>
      </c>
      <c r="AM83" s="8">
        <v>0</v>
      </c>
      <c r="AN83" s="8">
        <f t="shared" si="52"/>
        <v>0</v>
      </c>
      <c r="AO83" s="63">
        <f t="shared" si="53"/>
        <v>0</v>
      </c>
      <c r="AP83" s="64">
        <f t="shared" si="54"/>
        <v>0</v>
      </c>
      <c r="AQ83" s="66">
        <v>0</v>
      </c>
      <c r="AR83" s="37">
        <f t="shared" si="55"/>
        <v>0</v>
      </c>
      <c r="AS83" s="37">
        <f t="shared" si="56"/>
        <v>0</v>
      </c>
      <c r="AT83" s="37">
        <v>0</v>
      </c>
      <c r="AU83" s="37">
        <f t="shared" si="57"/>
        <v>0</v>
      </c>
      <c r="AV83" s="67">
        <f t="shared" si="58"/>
        <v>0</v>
      </c>
      <c r="AW83" s="64">
        <f t="shared" si="59"/>
        <v>0</v>
      </c>
      <c r="AX83" s="85" t="s">
        <v>482</v>
      </c>
      <c r="AY83" s="86">
        <v>5</v>
      </c>
      <c r="AZ83" s="87" t="s">
        <v>705</v>
      </c>
      <c r="BA83" s="80" t="s">
        <v>469</v>
      </c>
    </row>
    <row r="84" spans="1:53" ht="105">
      <c r="A84" s="88" t="s">
        <v>464</v>
      </c>
      <c r="B84" s="88" t="s">
        <v>706</v>
      </c>
      <c r="C84" s="88" t="s">
        <v>706</v>
      </c>
      <c r="D84" s="89" t="s">
        <v>707</v>
      </c>
      <c r="E84" s="89" t="s">
        <v>15</v>
      </c>
      <c r="F84" s="89" t="s">
        <v>467</v>
      </c>
      <c r="G84" s="90">
        <v>42296</v>
      </c>
      <c r="H84" s="91">
        <v>33.6</v>
      </c>
      <c r="I84" s="92">
        <f t="shared" si="30"/>
        <v>9.2054794520547947E-2</v>
      </c>
      <c r="J84" s="92">
        <f t="shared" si="31"/>
        <v>2.8000000000000003</v>
      </c>
      <c r="K84" s="92">
        <f>25.32+4.8+8.93</f>
        <v>39.049999999999997</v>
      </c>
      <c r="L84" s="92">
        <f t="shared" si="32"/>
        <v>0.10698630136986301</v>
      </c>
      <c r="M84" s="93">
        <f t="shared" si="33"/>
        <v>3.2541666666666664</v>
      </c>
      <c r="N84" s="64">
        <f t="shared" si="34"/>
        <v>1.493150684931506E-2</v>
      </c>
      <c r="O84" s="62">
        <v>0</v>
      </c>
      <c r="P84" s="8">
        <f t="shared" si="35"/>
        <v>0</v>
      </c>
      <c r="Q84" s="8">
        <f t="shared" si="36"/>
        <v>0</v>
      </c>
      <c r="R84" s="8">
        <v>0</v>
      </c>
      <c r="S84" s="8">
        <f t="shared" si="37"/>
        <v>0</v>
      </c>
      <c r="T84" s="63">
        <f t="shared" si="38"/>
        <v>0</v>
      </c>
      <c r="U84" s="65">
        <f t="shared" si="39"/>
        <v>0</v>
      </c>
      <c r="V84" s="62">
        <v>33.6</v>
      </c>
      <c r="W84" s="8">
        <f t="shared" si="40"/>
        <v>9.2054794520547947E-2</v>
      </c>
      <c r="X84" s="8">
        <f t="shared" si="41"/>
        <v>2.8000000000000003</v>
      </c>
      <c r="Y84" s="8">
        <f>25.32+4.8+8.93</f>
        <v>39.049999999999997</v>
      </c>
      <c r="Z84" s="8">
        <f t="shared" si="42"/>
        <v>0.10698630136986301</v>
      </c>
      <c r="AA84" s="63">
        <f t="shared" si="43"/>
        <v>3.2541666666666664</v>
      </c>
      <c r="AB84" s="65">
        <f t="shared" si="44"/>
        <v>1.493150684931506E-2</v>
      </c>
      <c r="AC84" s="62">
        <v>0</v>
      </c>
      <c r="AD84" s="8">
        <f t="shared" si="45"/>
        <v>0</v>
      </c>
      <c r="AE84" s="8">
        <f t="shared" si="46"/>
        <v>0</v>
      </c>
      <c r="AF84" s="8">
        <v>0</v>
      </c>
      <c r="AG84" s="8">
        <f t="shared" si="47"/>
        <v>0</v>
      </c>
      <c r="AH84" s="63">
        <f t="shared" si="48"/>
        <v>0</v>
      </c>
      <c r="AI84" s="64">
        <f t="shared" si="49"/>
        <v>0</v>
      </c>
      <c r="AJ84" s="62">
        <v>0</v>
      </c>
      <c r="AK84" s="8">
        <f t="shared" si="50"/>
        <v>0</v>
      </c>
      <c r="AL84" s="8">
        <f t="shared" si="51"/>
        <v>0</v>
      </c>
      <c r="AM84" s="8">
        <v>0</v>
      </c>
      <c r="AN84" s="8">
        <f t="shared" si="52"/>
        <v>0</v>
      </c>
      <c r="AO84" s="63">
        <f t="shared" si="53"/>
        <v>0</v>
      </c>
      <c r="AP84" s="64">
        <f t="shared" si="54"/>
        <v>0</v>
      </c>
      <c r="AQ84" s="66">
        <v>0</v>
      </c>
      <c r="AR84" s="37">
        <f t="shared" si="55"/>
        <v>0</v>
      </c>
      <c r="AS84" s="37">
        <f t="shared" si="56"/>
        <v>0</v>
      </c>
      <c r="AT84" s="37">
        <v>0</v>
      </c>
      <c r="AU84" s="37">
        <f t="shared" si="57"/>
        <v>0</v>
      </c>
      <c r="AV84" s="67">
        <f t="shared" si="58"/>
        <v>0</v>
      </c>
      <c r="AW84" s="64">
        <f t="shared" si="59"/>
        <v>0</v>
      </c>
      <c r="AX84" s="94" t="s">
        <v>482</v>
      </c>
      <c r="AY84" s="95">
        <v>8</v>
      </c>
      <c r="AZ84" s="89" t="s">
        <v>708</v>
      </c>
      <c r="BA84" s="89" t="s">
        <v>469</v>
      </c>
    </row>
    <row r="85" spans="1:53">
      <c r="A85" s="7" t="s">
        <v>464</v>
      </c>
      <c r="B85" s="7" t="s">
        <v>709</v>
      </c>
      <c r="C85" s="7" t="s">
        <v>709</v>
      </c>
      <c r="D85" s="6" t="s">
        <v>710</v>
      </c>
      <c r="E85" s="6" t="s">
        <v>15</v>
      </c>
      <c r="F85" s="6" t="s">
        <v>467</v>
      </c>
      <c r="G85" s="71">
        <v>42320</v>
      </c>
      <c r="H85" s="62">
        <f>3.84+1.92</f>
        <v>5.76</v>
      </c>
      <c r="I85" s="8">
        <f t="shared" si="30"/>
        <v>1.5780821917808219E-2</v>
      </c>
      <c r="J85" s="8">
        <f t="shared" si="31"/>
        <v>0.48</v>
      </c>
      <c r="K85" s="8">
        <f>3.12+1.79</f>
        <v>4.91</v>
      </c>
      <c r="L85" s="8">
        <f t="shared" si="32"/>
        <v>1.3452054794520548E-2</v>
      </c>
      <c r="M85" s="63">
        <f t="shared" si="33"/>
        <v>0.40916666666666668</v>
      </c>
      <c r="N85" s="64">
        <f t="shared" si="34"/>
        <v>-2.3287671232876707E-3</v>
      </c>
      <c r="O85" s="62">
        <v>0</v>
      </c>
      <c r="P85" s="8">
        <f t="shared" si="35"/>
        <v>0</v>
      </c>
      <c r="Q85" s="8">
        <f t="shared" si="36"/>
        <v>0</v>
      </c>
      <c r="R85" s="8">
        <v>0</v>
      </c>
      <c r="S85" s="8">
        <f t="shared" si="37"/>
        <v>0</v>
      </c>
      <c r="T85" s="63">
        <f t="shared" si="38"/>
        <v>0</v>
      </c>
      <c r="U85" s="65">
        <f t="shared" si="39"/>
        <v>0</v>
      </c>
      <c r="V85" s="62">
        <f>3.84+1.92</f>
        <v>5.76</v>
      </c>
      <c r="W85" s="8">
        <f t="shared" si="40"/>
        <v>1.5780821917808219E-2</v>
      </c>
      <c r="X85" s="8">
        <f t="shared" si="41"/>
        <v>0.48</v>
      </c>
      <c r="Y85" s="8">
        <f>3.12+1.79</f>
        <v>4.91</v>
      </c>
      <c r="Z85" s="8">
        <f t="shared" si="42"/>
        <v>1.3452054794520548E-2</v>
      </c>
      <c r="AA85" s="63">
        <f t="shared" si="43"/>
        <v>0.40916666666666668</v>
      </c>
      <c r="AB85" s="65">
        <f t="shared" si="44"/>
        <v>-2.3287671232876707E-3</v>
      </c>
      <c r="AC85" s="62">
        <v>0</v>
      </c>
      <c r="AD85" s="8">
        <f t="shared" si="45"/>
        <v>0</v>
      </c>
      <c r="AE85" s="8">
        <f t="shared" si="46"/>
        <v>0</v>
      </c>
      <c r="AF85" s="8">
        <v>0</v>
      </c>
      <c r="AG85" s="8">
        <f t="shared" si="47"/>
        <v>0</v>
      </c>
      <c r="AH85" s="63">
        <f t="shared" si="48"/>
        <v>0</v>
      </c>
      <c r="AI85" s="64">
        <f t="shared" si="49"/>
        <v>0</v>
      </c>
      <c r="AJ85" s="62">
        <v>0</v>
      </c>
      <c r="AK85" s="8">
        <f t="shared" si="50"/>
        <v>0</v>
      </c>
      <c r="AL85" s="8">
        <f t="shared" si="51"/>
        <v>0</v>
      </c>
      <c r="AM85" s="8">
        <v>0</v>
      </c>
      <c r="AN85" s="8">
        <f t="shared" si="52"/>
        <v>0</v>
      </c>
      <c r="AO85" s="63">
        <f t="shared" si="53"/>
        <v>0</v>
      </c>
      <c r="AP85" s="64">
        <f t="shared" si="54"/>
        <v>0</v>
      </c>
      <c r="AQ85" s="66">
        <v>0</v>
      </c>
      <c r="AR85" s="37">
        <f t="shared" si="55"/>
        <v>0</v>
      </c>
      <c r="AS85" s="37">
        <f t="shared" si="56"/>
        <v>0</v>
      </c>
      <c r="AT85" s="37">
        <v>0</v>
      </c>
      <c r="AU85" s="37">
        <f t="shared" si="57"/>
        <v>0</v>
      </c>
      <c r="AV85" s="67">
        <f t="shared" si="58"/>
        <v>0</v>
      </c>
      <c r="AW85" s="64">
        <f t="shared" si="59"/>
        <v>0</v>
      </c>
      <c r="AX85" s="68">
        <v>20</v>
      </c>
      <c r="AY85" s="69">
        <v>10</v>
      </c>
      <c r="AZ85" s="6" t="s">
        <v>711</v>
      </c>
      <c r="BA85" s="6" t="s">
        <v>469</v>
      </c>
    </row>
    <row r="86" spans="1:53" ht="105">
      <c r="A86" s="7" t="s">
        <v>464</v>
      </c>
      <c r="B86" s="7" t="s">
        <v>712</v>
      </c>
      <c r="C86" s="7" t="s">
        <v>712</v>
      </c>
      <c r="D86" s="35" t="s">
        <v>713</v>
      </c>
      <c r="E86" s="6" t="s">
        <v>714</v>
      </c>
      <c r="F86" s="6" t="s">
        <v>467</v>
      </c>
      <c r="G86" s="61">
        <v>42325</v>
      </c>
      <c r="H86" s="62">
        <v>131.6</v>
      </c>
      <c r="I86" s="8">
        <f t="shared" si="30"/>
        <v>0.36054794520547945</v>
      </c>
      <c r="J86" s="8">
        <f t="shared" si="31"/>
        <v>10.966666666666667</v>
      </c>
      <c r="K86" s="8">
        <v>131.6</v>
      </c>
      <c r="L86" s="8">
        <f t="shared" si="32"/>
        <v>0.36054794520547945</v>
      </c>
      <c r="M86" s="63">
        <f t="shared" si="33"/>
        <v>10.966666666666667</v>
      </c>
      <c r="N86" s="64">
        <f t="shared" si="34"/>
        <v>0</v>
      </c>
      <c r="O86" s="62">
        <v>0</v>
      </c>
      <c r="P86" s="8">
        <f t="shared" si="35"/>
        <v>0</v>
      </c>
      <c r="Q86" s="8">
        <f t="shared" si="36"/>
        <v>0</v>
      </c>
      <c r="R86" s="8">
        <v>0</v>
      </c>
      <c r="S86" s="8">
        <f t="shared" si="37"/>
        <v>0</v>
      </c>
      <c r="T86" s="63">
        <f t="shared" si="38"/>
        <v>0</v>
      </c>
      <c r="U86" s="65">
        <f t="shared" si="39"/>
        <v>0</v>
      </c>
      <c r="V86" s="62">
        <v>122.2</v>
      </c>
      <c r="W86" s="8">
        <f t="shared" si="40"/>
        <v>0.33479452054794523</v>
      </c>
      <c r="X86" s="8">
        <f t="shared" si="41"/>
        <v>10.183333333333334</v>
      </c>
      <c r="Y86" s="8">
        <v>122.2</v>
      </c>
      <c r="Z86" s="8">
        <f t="shared" si="42"/>
        <v>0.33479452054794523</v>
      </c>
      <c r="AA86" s="63">
        <f t="shared" si="43"/>
        <v>10.183333333333334</v>
      </c>
      <c r="AB86" s="65">
        <f t="shared" si="44"/>
        <v>0</v>
      </c>
      <c r="AC86" s="62">
        <v>9.4</v>
      </c>
      <c r="AD86" s="8">
        <f t="shared" si="45"/>
        <v>2.5753424657534246E-2</v>
      </c>
      <c r="AE86" s="8">
        <f t="shared" si="46"/>
        <v>0.78333333333333333</v>
      </c>
      <c r="AF86" s="8">
        <v>9.4</v>
      </c>
      <c r="AG86" s="8">
        <f t="shared" si="47"/>
        <v>2.5753424657534246E-2</v>
      </c>
      <c r="AH86" s="63">
        <f t="shared" si="48"/>
        <v>0.78333333333333333</v>
      </c>
      <c r="AI86" s="64">
        <f t="shared" si="49"/>
        <v>0</v>
      </c>
      <c r="AJ86" s="62">
        <v>0</v>
      </c>
      <c r="AK86" s="8">
        <f t="shared" si="50"/>
        <v>0</v>
      </c>
      <c r="AL86" s="8">
        <f t="shared" si="51"/>
        <v>0</v>
      </c>
      <c r="AM86" s="8">
        <v>0</v>
      </c>
      <c r="AN86" s="8">
        <f t="shared" si="52"/>
        <v>0</v>
      </c>
      <c r="AO86" s="63">
        <f t="shared" si="53"/>
        <v>0</v>
      </c>
      <c r="AP86" s="64">
        <f t="shared" si="54"/>
        <v>0</v>
      </c>
      <c r="AQ86" s="66">
        <v>0</v>
      </c>
      <c r="AR86" s="37">
        <f t="shared" si="55"/>
        <v>0</v>
      </c>
      <c r="AS86" s="37">
        <f t="shared" si="56"/>
        <v>0</v>
      </c>
      <c r="AT86" s="37">
        <v>0</v>
      </c>
      <c r="AU86" s="37">
        <f t="shared" si="57"/>
        <v>0</v>
      </c>
      <c r="AV86" s="67">
        <f t="shared" si="58"/>
        <v>0</v>
      </c>
      <c r="AW86" s="64">
        <f t="shared" si="59"/>
        <v>0</v>
      </c>
      <c r="AX86" s="68">
        <v>20</v>
      </c>
      <c r="AY86" s="69">
        <v>20</v>
      </c>
      <c r="AZ86" s="6" t="s">
        <v>715</v>
      </c>
      <c r="BA86" s="6" t="s">
        <v>469</v>
      </c>
    </row>
    <row r="87" spans="1:53" ht="30">
      <c r="A87" s="7" t="s">
        <v>464</v>
      </c>
      <c r="B87" s="7" t="s">
        <v>716</v>
      </c>
      <c r="C87" s="7" t="s">
        <v>716</v>
      </c>
      <c r="D87" s="6" t="s">
        <v>717</v>
      </c>
      <c r="E87" s="6" t="s">
        <v>489</v>
      </c>
      <c r="F87" s="6" t="s">
        <v>514</v>
      </c>
      <c r="G87" s="61">
        <v>42332</v>
      </c>
      <c r="H87" s="62">
        <v>19.829999999999998</v>
      </c>
      <c r="I87" s="8">
        <f t="shared" si="30"/>
        <v>5.4328767123287665E-2</v>
      </c>
      <c r="J87" s="8">
        <f t="shared" si="31"/>
        <v>1.6524999999999999</v>
      </c>
      <c r="K87" s="8">
        <v>19.829999999999998</v>
      </c>
      <c r="L87" s="8">
        <f t="shared" si="32"/>
        <v>5.4328767123287665E-2</v>
      </c>
      <c r="M87" s="63">
        <f t="shared" si="33"/>
        <v>1.6524999999999999</v>
      </c>
      <c r="N87" s="64">
        <f t="shared" si="34"/>
        <v>0</v>
      </c>
      <c r="O87" s="62">
        <v>0</v>
      </c>
      <c r="P87" s="8">
        <f t="shared" si="35"/>
        <v>0</v>
      </c>
      <c r="Q87" s="8">
        <f t="shared" si="36"/>
        <v>0</v>
      </c>
      <c r="R87" s="8">
        <v>0</v>
      </c>
      <c r="S87" s="8">
        <f t="shared" si="37"/>
        <v>0</v>
      </c>
      <c r="T87" s="63">
        <f t="shared" si="38"/>
        <v>0</v>
      </c>
      <c r="U87" s="65">
        <f t="shared" si="39"/>
        <v>0</v>
      </c>
      <c r="V87" s="62">
        <v>19.829999999999998</v>
      </c>
      <c r="W87" s="8">
        <f t="shared" si="40"/>
        <v>5.4328767123287665E-2</v>
      </c>
      <c r="X87" s="8">
        <f t="shared" si="41"/>
        <v>1.6524999999999999</v>
      </c>
      <c r="Y87" s="8">
        <v>19.829999999999998</v>
      </c>
      <c r="Z87" s="8">
        <f t="shared" si="42"/>
        <v>5.4328767123287665E-2</v>
      </c>
      <c r="AA87" s="63">
        <f t="shared" si="43"/>
        <v>1.6524999999999999</v>
      </c>
      <c r="AB87" s="65">
        <f t="shared" si="44"/>
        <v>0</v>
      </c>
      <c r="AC87" s="62">
        <v>0</v>
      </c>
      <c r="AD87" s="8">
        <f t="shared" si="45"/>
        <v>0</v>
      </c>
      <c r="AE87" s="8">
        <f t="shared" si="46"/>
        <v>0</v>
      </c>
      <c r="AF87" s="8">
        <v>0</v>
      </c>
      <c r="AG87" s="8">
        <f t="shared" si="47"/>
        <v>0</v>
      </c>
      <c r="AH87" s="63">
        <f t="shared" si="48"/>
        <v>0</v>
      </c>
      <c r="AI87" s="64">
        <f t="shared" si="49"/>
        <v>0</v>
      </c>
      <c r="AJ87" s="62">
        <v>0</v>
      </c>
      <c r="AK87" s="8">
        <f t="shared" si="50"/>
        <v>0</v>
      </c>
      <c r="AL87" s="8">
        <f t="shared" si="51"/>
        <v>0</v>
      </c>
      <c r="AM87" s="8">
        <v>0</v>
      </c>
      <c r="AN87" s="8">
        <f t="shared" si="52"/>
        <v>0</v>
      </c>
      <c r="AO87" s="63">
        <f t="shared" si="53"/>
        <v>0</v>
      </c>
      <c r="AP87" s="64">
        <f t="shared" si="54"/>
        <v>0</v>
      </c>
      <c r="AQ87" s="66">
        <v>99.15</v>
      </c>
      <c r="AR87" s="37">
        <f t="shared" si="55"/>
        <v>0.27164383561643834</v>
      </c>
      <c r="AS87" s="37">
        <f t="shared" si="56"/>
        <v>8.2625000000000011</v>
      </c>
      <c r="AT87" s="37">
        <v>99.15</v>
      </c>
      <c r="AU87" s="37">
        <f t="shared" si="57"/>
        <v>0.27164383561643834</v>
      </c>
      <c r="AV87" s="67">
        <f t="shared" si="58"/>
        <v>8.2625000000000011</v>
      </c>
      <c r="AW87" s="64">
        <f t="shared" si="59"/>
        <v>0</v>
      </c>
      <c r="AX87" s="68">
        <v>20</v>
      </c>
      <c r="AY87" s="69">
        <v>10</v>
      </c>
      <c r="AZ87" s="6"/>
      <c r="BA87" s="6" t="s">
        <v>469</v>
      </c>
    </row>
    <row r="88" spans="1:53" ht="90">
      <c r="A88" s="96" t="s">
        <v>464</v>
      </c>
      <c r="B88" s="96" t="s">
        <v>718</v>
      </c>
      <c r="C88" s="96" t="s">
        <v>718</v>
      </c>
      <c r="D88" s="97" t="s">
        <v>719</v>
      </c>
      <c r="E88" s="97" t="s">
        <v>15</v>
      </c>
      <c r="F88" s="97" t="s">
        <v>473</v>
      </c>
      <c r="G88" s="98">
        <v>42388</v>
      </c>
      <c r="H88" s="120">
        <v>0</v>
      </c>
      <c r="I88" s="121">
        <f t="shared" si="30"/>
        <v>0</v>
      </c>
      <c r="J88" s="121">
        <f t="shared" si="31"/>
        <v>0</v>
      </c>
      <c r="K88" s="121">
        <v>0</v>
      </c>
      <c r="L88" s="121">
        <f t="shared" si="32"/>
        <v>0</v>
      </c>
      <c r="M88" s="122">
        <f t="shared" si="33"/>
        <v>0</v>
      </c>
      <c r="N88" s="64">
        <f t="shared" si="34"/>
        <v>0</v>
      </c>
      <c r="O88" s="62">
        <v>0</v>
      </c>
      <c r="P88" s="8">
        <f t="shared" si="35"/>
        <v>0</v>
      </c>
      <c r="Q88" s="8">
        <f t="shared" si="36"/>
        <v>0</v>
      </c>
      <c r="R88" s="8">
        <v>0</v>
      </c>
      <c r="S88" s="8">
        <f t="shared" si="37"/>
        <v>0</v>
      </c>
      <c r="T88" s="63">
        <f t="shared" si="38"/>
        <v>0</v>
      </c>
      <c r="U88" s="65">
        <f t="shared" si="39"/>
        <v>0</v>
      </c>
      <c r="V88" s="62">
        <v>0</v>
      </c>
      <c r="W88" s="8">
        <f t="shared" si="40"/>
        <v>0</v>
      </c>
      <c r="X88" s="8">
        <f t="shared" si="41"/>
        <v>0</v>
      </c>
      <c r="Y88" s="8">
        <v>0</v>
      </c>
      <c r="Z88" s="8">
        <f t="shared" si="42"/>
        <v>0</v>
      </c>
      <c r="AA88" s="63">
        <f t="shared" si="43"/>
        <v>0</v>
      </c>
      <c r="AB88" s="65">
        <f t="shared" si="44"/>
        <v>0</v>
      </c>
      <c r="AC88" s="62">
        <v>0</v>
      </c>
      <c r="AD88" s="8">
        <f t="shared" si="45"/>
        <v>0</v>
      </c>
      <c r="AE88" s="8">
        <f t="shared" si="46"/>
        <v>0</v>
      </c>
      <c r="AF88" s="8">
        <v>0</v>
      </c>
      <c r="AG88" s="8">
        <f t="shared" si="47"/>
        <v>0</v>
      </c>
      <c r="AH88" s="63">
        <f t="shared" si="48"/>
        <v>0</v>
      </c>
      <c r="AI88" s="64">
        <f t="shared" si="49"/>
        <v>0</v>
      </c>
      <c r="AJ88" s="62">
        <v>0</v>
      </c>
      <c r="AK88" s="8">
        <f t="shared" si="50"/>
        <v>0</v>
      </c>
      <c r="AL88" s="8">
        <f t="shared" si="51"/>
        <v>0</v>
      </c>
      <c r="AM88" s="8">
        <v>0</v>
      </c>
      <c r="AN88" s="8">
        <f t="shared" si="52"/>
        <v>0</v>
      </c>
      <c r="AO88" s="63">
        <f t="shared" si="53"/>
        <v>0</v>
      </c>
      <c r="AP88" s="64">
        <f t="shared" si="54"/>
        <v>0</v>
      </c>
      <c r="AQ88" s="66">
        <v>0</v>
      </c>
      <c r="AR88" s="37">
        <f t="shared" si="55"/>
        <v>0</v>
      </c>
      <c r="AS88" s="37">
        <f t="shared" si="56"/>
        <v>0</v>
      </c>
      <c r="AT88" s="37">
        <v>0</v>
      </c>
      <c r="AU88" s="37">
        <f t="shared" si="57"/>
        <v>0</v>
      </c>
      <c r="AV88" s="67">
        <f t="shared" si="58"/>
        <v>0</v>
      </c>
      <c r="AW88" s="64">
        <f t="shared" si="59"/>
        <v>0</v>
      </c>
      <c r="AX88" s="108">
        <v>20</v>
      </c>
      <c r="AY88" s="103">
        <v>20</v>
      </c>
      <c r="AZ88" s="97" t="s">
        <v>720</v>
      </c>
      <c r="BA88" s="97" t="s">
        <v>469</v>
      </c>
    </row>
    <row r="89" spans="1:53" ht="30">
      <c r="A89" s="72" t="s">
        <v>464</v>
      </c>
      <c r="B89" s="72" t="s">
        <v>721</v>
      </c>
      <c r="C89" s="72" t="s">
        <v>721</v>
      </c>
      <c r="D89" s="73" t="s">
        <v>722</v>
      </c>
      <c r="E89" s="73"/>
      <c r="F89" s="73" t="s">
        <v>522</v>
      </c>
      <c r="G89" s="74">
        <v>42389</v>
      </c>
      <c r="H89" s="66">
        <v>0</v>
      </c>
      <c r="I89" s="37">
        <f t="shared" si="30"/>
        <v>0</v>
      </c>
      <c r="J89" s="37">
        <f t="shared" si="31"/>
        <v>0</v>
      </c>
      <c r="K89" s="37">
        <v>0</v>
      </c>
      <c r="L89" s="37">
        <f t="shared" si="32"/>
        <v>0</v>
      </c>
      <c r="M89" s="67">
        <f t="shared" si="33"/>
        <v>0</v>
      </c>
      <c r="N89" s="64">
        <f t="shared" si="34"/>
        <v>0</v>
      </c>
      <c r="O89" s="62">
        <v>0</v>
      </c>
      <c r="P89" s="8">
        <f t="shared" si="35"/>
        <v>0</v>
      </c>
      <c r="Q89" s="8">
        <f t="shared" si="36"/>
        <v>0</v>
      </c>
      <c r="R89" s="8">
        <v>0</v>
      </c>
      <c r="S89" s="8">
        <f t="shared" si="37"/>
        <v>0</v>
      </c>
      <c r="T89" s="63">
        <f t="shared" si="38"/>
        <v>0</v>
      </c>
      <c r="U89" s="65">
        <f t="shared" si="39"/>
        <v>0</v>
      </c>
      <c r="V89" s="62">
        <v>0</v>
      </c>
      <c r="W89" s="8">
        <f t="shared" si="40"/>
        <v>0</v>
      </c>
      <c r="X89" s="8">
        <f t="shared" si="41"/>
        <v>0</v>
      </c>
      <c r="Y89" s="8">
        <v>0</v>
      </c>
      <c r="Z89" s="8">
        <f t="shared" si="42"/>
        <v>0</v>
      </c>
      <c r="AA89" s="63">
        <f t="shared" si="43"/>
        <v>0</v>
      </c>
      <c r="AB89" s="65">
        <f t="shared" si="44"/>
        <v>0</v>
      </c>
      <c r="AC89" s="62">
        <v>0</v>
      </c>
      <c r="AD89" s="8">
        <f t="shared" si="45"/>
        <v>0</v>
      </c>
      <c r="AE89" s="8">
        <f t="shared" si="46"/>
        <v>0</v>
      </c>
      <c r="AF89" s="8">
        <v>0</v>
      </c>
      <c r="AG89" s="8">
        <f t="shared" si="47"/>
        <v>0</v>
      </c>
      <c r="AH89" s="63">
        <f t="shared" si="48"/>
        <v>0</v>
      </c>
      <c r="AI89" s="64">
        <f t="shared" si="49"/>
        <v>0</v>
      </c>
      <c r="AJ89" s="62">
        <v>0</v>
      </c>
      <c r="AK89" s="8">
        <f t="shared" si="50"/>
        <v>0</v>
      </c>
      <c r="AL89" s="8">
        <f t="shared" si="51"/>
        <v>0</v>
      </c>
      <c r="AM89" s="8">
        <v>0</v>
      </c>
      <c r="AN89" s="8">
        <f t="shared" si="52"/>
        <v>0</v>
      </c>
      <c r="AO89" s="63">
        <f t="shared" si="53"/>
        <v>0</v>
      </c>
      <c r="AP89" s="64">
        <f t="shared" si="54"/>
        <v>0</v>
      </c>
      <c r="AQ89" s="66">
        <v>0</v>
      </c>
      <c r="AR89" s="37">
        <f t="shared" si="55"/>
        <v>0</v>
      </c>
      <c r="AS89" s="37">
        <f t="shared" si="56"/>
        <v>0</v>
      </c>
      <c r="AT89" s="37">
        <v>0</v>
      </c>
      <c r="AU89" s="37">
        <f t="shared" si="57"/>
        <v>0</v>
      </c>
      <c r="AV89" s="67">
        <f t="shared" si="58"/>
        <v>0</v>
      </c>
      <c r="AW89" s="64">
        <f t="shared" si="59"/>
        <v>0</v>
      </c>
      <c r="AX89" s="75"/>
      <c r="AY89" s="76"/>
      <c r="AZ89" s="73" t="s">
        <v>723</v>
      </c>
      <c r="BA89" s="73" t="s">
        <v>486</v>
      </c>
    </row>
    <row r="90" spans="1:53" ht="45">
      <c r="A90" s="7" t="s">
        <v>464</v>
      </c>
      <c r="B90" s="7" t="s">
        <v>724</v>
      </c>
      <c r="C90" s="7" t="s">
        <v>724</v>
      </c>
      <c r="D90" s="73" t="s">
        <v>600</v>
      </c>
      <c r="E90" s="6" t="s">
        <v>472</v>
      </c>
      <c r="F90" s="6" t="s">
        <v>477</v>
      </c>
      <c r="G90" s="71">
        <v>42401</v>
      </c>
      <c r="H90" s="62">
        <v>8654.15</v>
      </c>
      <c r="I90" s="8">
        <f t="shared" si="30"/>
        <v>23.709999999999997</v>
      </c>
      <c r="J90" s="8">
        <f t="shared" si="31"/>
        <v>721.17916666666667</v>
      </c>
      <c r="K90" s="8">
        <v>8654.15</v>
      </c>
      <c r="L90" s="8">
        <f t="shared" si="32"/>
        <v>23.709999999999997</v>
      </c>
      <c r="M90" s="63">
        <f t="shared" si="33"/>
        <v>721.17916666666667</v>
      </c>
      <c r="N90" s="64">
        <f t="shared" si="34"/>
        <v>0</v>
      </c>
      <c r="O90" s="62">
        <v>0</v>
      </c>
      <c r="P90" s="8">
        <f t="shared" si="35"/>
        <v>0</v>
      </c>
      <c r="Q90" s="8">
        <f t="shared" si="36"/>
        <v>0</v>
      </c>
      <c r="R90" s="8">
        <v>0</v>
      </c>
      <c r="S90" s="8">
        <f t="shared" si="37"/>
        <v>0</v>
      </c>
      <c r="T90" s="63">
        <f t="shared" si="38"/>
        <v>0</v>
      </c>
      <c r="U90" s="65">
        <f t="shared" si="39"/>
        <v>0</v>
      </c>
      <c r="V90" s="62">
        <v>5372.8</v>
      </c>
      <c r="W90" s="8">
        <f t="shared" si="40"/>
        <v>14.72</v>
      </c>
      <c r="X90" s="8">
        <f t="shared" si="41"/>
        <v>447.73333333333335</v>
      </c>
      <c r="Y90" s="8">
        <v>5372.8</v>
      </c>
      <c r="Z90" s="8">
        <f t="shared" si="42"/>
        <v>14.72</v>
      </c>
      <c r="AA90" s="63">
        <f t="shared" si="43"/>
        <v>447.73333333333335</v>
      </c>
      <c r="AB90" s="65">
        <f t="shared" si="44"/>
        <v>0</v>
      </c>
      <c r="AC90" s="62">
        <v>3281.35</v>
      </c>
      <c r="AD90" s="8">
        <f t="shared" si="45"/>
        <v>8.99</v>
      </c>
      <c r="AE90" s="8">
        <f t="shared" si="46"/>
        <v>273.44583333333333</v>
      </c>
      <c r="AF90" s="8">
        <v>3281.35</v>
      </c>
      <c r="AG90" s="8">
        <f t="shared" si="47"/>
        <v>8.99</v>
      </c>
      <c r="AH90" s="63">
        <f t="shared" si="48"/>
        <v>273.44583333333333</v>
      </c>
      <c r="AI90" s="64">
        <f t="shared" si="49"/>
        <v>0</v>
      </c>
      <c r="AJ90" s="62">
        <v>0</v>
      </c>
      <c r="AK90" s="8">
        <f t="shared" si="50"/>
        <v>0</v>
      </c>
      <c r="AL90" s="8">
        <f t="shared" si="51"/>
        <v>0</v>
      </c>
      <c r="AM90" s="8">
        <v>0</v>
      </c>
      <c r="AN90" s="8">
        <f t="shared" si="52"/>
        <v>0</v>
      </c>
      <c r="AO90" s="63">
        <f t="shared" si="53"/>
        <v>0</v>
      </c>
      <c r="AP90" s="64">
        <f t="shared" si="54"/>
        <v>0</v>
      </c>
      <c r="AQ90" s="66">
        <v>0</v>
      </c>
      <c r="AR90" s="37">
        <f t="shared" si="55"/>
        <v>0</v>
      </c>
      <c r="AS90" s="37">
        <f t="shared" si="56"/>
        <v>0</v>
      </c>
      <c r="AT90" s="37">
        <v>0</v>
      </c>
      <c r="AU90" s="37">
        <f t="shared" si="57"/>
        <v>0</v>
      </c>
      <c r="AV90" s="67">
        <f t="shared" si="58"/>
        <v>0</v>
      </c>
      <c r="AW90" s="64">
        <f t="shared" si="59"/>
        <v>0</v>
      </c>
      <c r="AX90" s="68" t="s">
        <v>482</v>
      </c>
      <c r="AY90" s="69">
        <v>13</v>
      </c>
      <c r="AZ90" s="6" t="s">
        <v>725</v>
      </c>
      <c r="BA90" s="6" t="s">
        <v>469</v>
      </c>
    </row>
    <row r="91" spans="1:53" ht="30">
      <c r="A91" s="7" t="s">
        <v>464</v>
      </c>
      <c r="B91" s="7" t="s">
        <v>726</v>
      </c>
      <c r="C91" s="7" t="s">
        <v>726</v>
      </c>
      <c r="D91" s="6" t="s">
        <v>727</v>
      </c>
      <c r="E91" s="6" t="s">
        <v>15</v>
      </c>
      <c r="F91" s="6" t="s">
        <v>467</v>
      </c>
      <c r="G91" s="78">
        <v>42404</v>
      </c>
      <c r="H91" s="62">
        <v>101.1</v>
      </c>
      <c r="I91" s="8">
        <f t="shared" si="30"/>
        <v>0.27698630136986302</v>
      </c>
      <c r="J91" s="8">
        <f t="shared" si="31"/>
        <v>8.4249999999999989</v>
      </c>
      <c r="K91" s="8">
        <v>101.1</v>
      </c>
      <c r="L91" s="8">
        <f t="shared" si="32"/>
        <v>0.27698630136986302</v>
      </c>
      <c r="M91" s="63">
        <f t="shared" si="33"/>
        <v>8.4249999999999989</v>
      </c>
      <c r="N91" s="64">
        <f t="shared" si="34"/>
        <v>0</v>
      </c>
      <c r="O91" s="62">
        <v>0</v>
      </c>
      <c r="P91" s="8">
        <f t="shared" si="35"/>
        <v>0</v>
      </c>
      <c r="Q91" s="8">
        <f t="shared" si="36"/>
        <v>0</v>
      </c>
      <c r="R91" s="8">
        <v>0</v>
      </c>
      <c r="S91" s="8">
        <f t="shared" si="37"/>
        <v>0</v>
      </c>
      <c r="T91" s="63">
        <f t="shared" si="38"/>
        <v>0</v>
      </c>
      <c r="U91" s="65">
        <f t="shared" si="39"/>
        <v>0</v>
      </c>
      <c r="V91" s="62">
        <v>101.1</v>
      </c>
      <c r="W91" s="8">
        <f t="shared" si="40"/>
        <v>0.27698630136986302</v>
      </c>
      <c r="X91" s="8">
        <f t="shared" si="41"/>
        <v>8.4249999999999989</v>
      </c>
      <c r="Y91" s="8">
        <v>101.1</v>
      </c>
      <c r="Z91" s="8">
        <f t="shared" si="42"/>
        <v>0.27698630136986302</v>
      </c>
      <c r="AA91" s="63">
        <f t="shared" si="43"/>
        <v>8.4249999999999989</v>
      </c>
      <c r="AB91" s="65">
        <f t="shared" si="44"/>
        <v>0</v>
      </c>
      <c r="AC91" s="62">
        <v>0</v>
      </c>
      <c r="AD91" s="8">
        <f t="shared" si="45"/>
        <v>0</v>
      </c>
      <c r="AE91" s="8">
        <f t="shared" si="46"/>
        <v>0</v>
      </c>
      <c r="AF91" s="8">
        <v>0</v>
      </c>
      <c r="AG91" s="8">
        <f t="shared" si="47"/>
        <v>0</v>
      </c>
      <c r="AH91" s="63">
        <f t="shared" si="48"/>
        <v>0</v>
      </c>
      <c r="AI91" s="64">
        <f t="shared" si="49"/>
        <v>0</v>
      </c>
      <c r="AJ91" s="62">
        <v>0</v>
      </c>
      <c r="AK91" s="8">
        <f t="shared" si="50"/>
        <v>0</v>
      </c>
      <c r="AL91" s="8">
        <f t="shared" si="51"/>
        <v>0</v>
      </c>
      <c r="AM91" s="8">
        <v>0</v>
      </c>
      <c r="AN91" s="8">
        <f t="shared" si="52"/>
        <v>0</v>
      </c>
      <c r="AO91" s="63">
        <f t="shared" si="53"/>
        <v>0</v>
      </c>
      <c r="AP91" s="64">
        <f t="shared" si="54"/>
        <v>0</v>
      </c>
      <c r="AQ91" s="66">
        <v>0</v>
      </c>
      <c r="AR91" s="37">
        <f t="shared" si="55"/>
        <v>0</v>
      </c>
      <c r="AS91" s="37">
        <f t="shared" si="56"/>
        <v>0</v>
      </c>
      <c r="AT91" s="37">
        <v>0</v>
      </c>
      <c r="AU91" s="37">
        <f t="shared" si="57"/>
        <v>0</v>
      </c>
      <c r="AV91" s="67">
        <f t="shared" si="58"/>
        <v>0</v>
      </c>
      <c r="AW91" s="64">
        <f t="shared" si="59"/>
        <v>0</v>
      </c>
      <c r="AX91" s="68" t="s">
        <v>482</v>
      </c>
      <c r="AY91" s="69">
        <v>18</v>
      </c>
      <c r="AZ91" s="6" t="s">
        <v>728</v>
      </c>
      <c r="BA91" s="6" t="s">
        <v>469</v>
      </c>
    </row>
    <row r="92" spans="1:53" ht="75">
      <c r="A92" s="7" t="s">
        <v>464</v>
      </c>
      <c r="B92" s="7" t="s">
        <v>729</v>
      </c>
      <c r="C92" s="7" t="s">
        <v>729</v>
      </c>
      <c r="D92" s="6" t="s">
        <v>730</v>
      </c>
      <c r="E92" s="6" t="s">
        <v>15</v>
      </c>
      <c r="F92" s="6" t="s">
        <v>467</v>
      </c>
      <c r="G92" s="71">
        <v>42423</v>
      </c>
      <c r="H92" s="62">
        <v>0</v>
      </c>
      <c r="I92" s="8">
        <f t="shared" si="30"/>
        <v>0</v>
      </c>
      <c r="J92" s="8">
        <f t="shared" si="31"/>
        <v>0</v>
      </c>
      <c r="K92" s="8">
        <v>28.4</v>
      </c>
      <c r="L92" s="8">
        <f t="shared" si="32"/>
        <v>7.7808219178082186E-2</v>
      </c>
      <c r="M92" s="63">
        <f t="shared" si="33"/>
        <v>2.3666666666666667</v>
      </c>
      <c r="N92" s="64">
        <f t="shared" si="34"/>
        <v>7.7808219178082186E-2</v>
      </c>
      <c r="O92" s="62">
        <v>0</v>
      </c>
      <c r="P92" s="8">
        <f t="shared" si="35"/>
        <v>0</v>
      </c>
      <c r="Q92" s="8">
        <f t="shared" si="36"/>
        <v>0</v>
      </c>
      <c r="R92" s="8">
        <v>0</v>
      </c>
      <c r="S92" s="8">
        <f t="shared" si="37"/>
        <v>0</v>
      </c>
      <c r="T92" s="63">
        <f t="shared" si="38"/>
        <v>0</v>
      </c>
      <c r="U92" s="65">
        <f t="shared" si="39"/>
        <v>0</v>
      </c>
      <c r="V92" s="62">
        <v>0</v>
      </c>
      <c r="W92" s="8">
        <f t="shared" si="40"/>
        <v>0</v>
      </c>
      <c r="X92" s="8">
        <f t="shared" si="41"/>
        <v>0</v>
      </c>
      <c r="Y92" s="8">
        <v>28.4</v>
      </c>
      <c r="Z92" s="8">
        <f t="shared" si="42"/>
        <v>7.7808219178082186E-2</v>
      </c>
      <c r="AA92" s="63">
        <f t="shared" si="43"/>
        <v>2.3666666666666667</v>
      </c>
      <c r="AB92" s="65">
        <f t="shared" si="44"/>
        <v>7.7808219178082186E-2</v>
      </c>
      <c r="AC92" s="62">
        <v>0</v>
      </c>
      <c r="AD92" s="8">
        <f t="shared" si="45"/>
        <v>0</v>
      </c>
      <c r="AE92" s="8">
        <f t="shared" si="46"/>
        <v>0</v>
      </c>
      <c r="AF92" s="8">
        <v>0</v>
      </c>
      <c r="AG92" s="8">
        <f t="shared" si="47"/>
        <v>0</v>
      </c>
      <c r="AH92" s="63">
        <f t="shared" si="48"/>
        <v>0</v>
      </c>
      <c r="AI92" s="64">
        <f t="shared" si="49"/>
        <v>0</v>
      </c>
      <c r="AJ92" s="62">
        <v>0</v>
      </c>
      <c r="AK92" s="8">
        <f t="shared" si="50"/>
        <v>0</v>
      </c>
      <c r="AL92" s="8">
        <f t="shared" si="51"/>
        <v>0</v>
      </c>
      <c r="AM92" s="8">
        <v>0</v>
      </c>
      <c r="AN92" s="8">
        <f t="shared" si="52"/>
        <v>0</v>
      </c>
      <c r="AO92" s="63">
        <f t="shared" si="53"/>
        <v>0</v>
      </c>
      <c r="AP92" s="64">
        <f t="shared" si="54"/>
        <v>0</v>
      </c>
      <c r="AQ92" s="66">
        <v>0</v>
      </c>
      <c r="AR92" s="37">
        <f t="shared" si="55"/>
        <v>0</v>
      </c>
      <c r="AS92" s="37">
        <f t="shared" si="56"/>
        <v>0</v>
      </c>
      <c r="AT92" s="37">
        <v>0</v>
      </c>
      <c r="AU92" s="37">
        <f t="shared" si="57"/>
        <v>0</v>
      </c>
      <c r="AV92" s="67">
        <f t="shared" si="58"/>
        <v>0</v>
      </c>
      <c r="AW92" s="64">
        <f t="shared" si="59"/>
        <v>0</v>
      </c>
      <c r="AX92" s="68">
        <v>20</v>
      </c>
      <c r="AY92" s="69">
        <v>10</v>
      </c>
      <c r="AZ92" s="6" t="s">
        <v>731</v>
      </c>
      <c r="BA92" s="6" t="s">
        <v>469</v>
      </c>
    </row>
    <row r="93" spans="1:53" ht="90">
      <c r="A93" s="115" t="s">
        <v>464</v>
      </c>
      <c r="B93" s="115" t="s">
        <v>732</v>
      </c>
      <c r="C93" s="115" t="s">
        <v>732</v>
      </c>
      <c r="D93" s="60" t="s">
        <v>733</v>
      </c>
      <c r="E93" s="60" t="s">
        <v>155</v>
      </c>
      <c r="F93" s="60" t="s">
        <v>467</v>
      </c>
      <c r="G93" s="116">
        <v>42438</v>
      </c>
      <c r="H93" s="117">
        <v>0</v>
      </c>
      <c r="I93" s="118">
        <f t="shared" si="30"/>
        <v>0</v>
      </c>
      <c r="J93" s="118">
        <f t="shared" si="31"/>
        <v>0</v>
      </c>
      <c r="K93" s="118">
        <v>0</v>
      </c>
      <c r="L93" s="118">
        <f t="shared" si="32"/>
        <v>0</v>
      </c>
      <c r="M93" s="119">
        <f t="shared" si="33"/>
        <v>0</v>
      </c>
      <c r="N93" s="64">
        <f t="shared" si="34"/>
        <v>0</v>
      </c>
      <c r="O93" s="62">
        <v>0</v>
      </c>
      <c r="P93" s="8">
        <f t="shared" si="35"/>
        <v>0</v>
      </c>
      <c r="Q93" s="8">
        <f t="shared" si="36"/>
        <v>0</v>
      </c>
      <c r="R93" s="8">
        <v>0</v>
      </c>
      <c r="S93" s="8">
        <f t="shared" si="37"/>
        <v>0</v>
      </c>
      <c r="T93" s="63">
        <f t="shared" si="38"/>
        <v>0</v>
      </c>
      <c r="U93" s="65">
        <f t="shared" si="39"/>
        <v>0</v>
      </c>
      <c r="V93" s="62">
        <v>0</v>
      </c>
      <c r="W93" s="8">
        <f t="shared" si="40"/>
        <v>0</v>
      </c>
      <c r="X93" s="8">
        <f t="shared" si="41"/>
        <v>0</v>
      </c>
      <c r="Y93" s="8">
        <v>0</v>
      </c>
      <c r="Z93" s="8">
        <f t="shared" si="42"/>
        <v>0</v>
      </c>
      <c r="AA93" s="63">
        <f t="shared" si="43"/>
        <v>0</v>
      </c>
      <c r="AB93" s="65">
        <f t="shared" si="44"/>
        <v>0</v>
      </c>
      <c r="AC93" s="62">
        <v>0</v>
      </c>
      <c r="AD93" s="8">
        <f t="shared" si="45"/>
        <v>0</v>
      </c>
      <c r="AE93" s="8">
        <f t="shared" si="46"/>
        <v>0</v>
      </c>
      <c r="AF93" s="8">
        <v>0</v>
      </c>
      <c r="AG93" s="8">
        <f t="shared" si="47"/>
        <v>0</v>
      </c>
      <c r="AH93" s="63">
        <f t="shared" si="48"/>
        <v>0</v>
      </c>
      <c r="AI93" s="64">
        <f t="shared" si="49"/>
        <v>0</v>
      </c>
      <c r="AJ93" s="62">
        <v>0</v>
      </c>
      <c r="AK93" s="8">
        <f t="shared" si="50"/>
        <v>0</v>
      </c>
      <c r="AL93" s="8">
        <f t="shared" si="51"/>
        <v>0</v>
      </c>
      <c r="AM93" s="8">
        <v>0</v>
      </c>
      <c r="AN93" s="8">
        <f t="shared" si="52"/>
        <v>0</v>
      </c>
      <c r="AO93" s="63">
        <f t="shared" si="53"/>
        <v>0</v>
      </c>
      <c r="AP93" s="64">
        <f t="shared" si="54"/>
        <v>0</v>
      </c>
      <c r="AQ93" s="120">
        <v>336</v>
      </c>
      <c r="AR93" s="121">
        <f t="shared" si="55"/>
        <v>0.92054794520547945</v>
      </c>
      <c r="AS93" s="121">
        <f t="shared" si="56"/>
        <v>28</v>
      </c>
      <c r="AT93" s="121">
        <v>336</v>
      </c>
      <c r="AU93" s="121">
        <f t="shared" si="57"/>
        <v>0.92054794520547945</v>
      </c>
      <c r="AV93" s="122">
        <f t="shared" si="58"/>
        <v>28</v>
      </c>
      <c r="AW93" s="64">
        <f t="shared" si="59"/>
        <v>0</v>
      </c>
      <c r="AX93" s="123" t="s">
        <v>535</v>
      </c>
      <c r="AY93" s="124" t="s">
        <v>535</v>
      </c>
      <c r="AZ93" s="60" t="s">
        <v>734</v>
      </c>
      <c r="BA93" s="60" t="s">
        <v>469</v>
      </c>
    </row>
    <row r="94" spans="1:53" ht="120">
      <c r="A94" s="115" t="s">
        <v>464</v>
      </c>
      <c r="B94" s="115" t="s">
        <v>735</v>
      </c>
      <c r="C94" s="115" t="s">
        <v>735</v>
      </c>
      <c r="D94" s="60" t="s">
        <v>736</v>
      </c>
      <c r="E94" s="60" t="s">
        <v>155</v>
      </c>
      <c r="F94" s="60" t="s">
        <v>467</v>
      </c>
      <c r="G94" s="116">
        <v>42438</v>
      </c>
      <c r="H94" s="117">
        <v>0</v>
      </c>
      <c r="I94" s="118">
        <f t="shared" si="30"/>
        <v>0</v>
      </c>
      <c r="J94" s="118">
        <f t="shared" si="31"/>
        <v>0</v>
      </c>
      <c r="K94" s="118">
        <v>0</v>
      </c>
      <c r="L94" s="118">
        <f t="shared" si="32"/>
        <v>0</v>
      </c>
      <c r="M94" s="119">
        <f t="shared" si="33"/>
        <v>0</v>
      </c>
      <c r="N94" s="64">
        <f t="shared" si="34"/>
        <v>0</v>
      </c>
      <c r="O94" s="62">
        <v>0</v>
      </c>
      <c r="P94" s="8">
        <f t="shared" si="35"/>
        <v>0</v>
      </c>
      <c r="Q94" s="8">
        <f t="shared" si="36"/>
        <v>0</v>
      </c>
      <c r="R94" s="8">
        <v>0</v>
      </c>
      <c r="S94" s="8">
        <f t="shared" si="37"/>
        <v>0</v>
      </c>
      <c r="T94" s="63">
        <f t="shared" si="38"/>
        <v>0</v>
      </c>
      <c r="U94" s="65">
        <f t="shared" si="39"/>
        <v>0</v>
      </c>
      <c r="V94" s="62">
        <v>0</v>
      </c>
      <c r="W94" s="8">
        <f t="shared" si="40"/>
        <v>0</v>
      </c>
      <c r="X94" s="8">
        <f t="shared" si="41"/>
        <v>0</v>
      </c>
      <c r="Y94" s="8">
        <v>0</v>
      </c>
      <c r="Z94" s="8">
        <f t="shared" si="42"/>
        <v>0</v>
      </c>
      <c r="AA94" s="63">
        <f t="shared" si="43"/>
        <v>0</v>
      </c>
      <c r="AB94" s="65">
        <f t="shared" si="44"/>
        <v>0</v>
      </c>
      <c r="AC94" s="62">
        <v>0</v>
      </c>
      <c r="AD94" s="8">
        <f t="shared" si="45"/>
        <v>0</v>
      </c>
      <c r="AE94" s="8">
        <f t="shared" si="46"/>
        <v>0</v>
      </c>
      <c r="AF94" s="8">
        <v>0</v>
      </c>
      <c r="AG94" s="8">
        <f t="shared" si="47"/>
        <v>0</v>
      </c>
      <c r="AH94" s="63">
        <f t="shared" si="48"/>
        <v>0</v>
      </c>
      <c r="AI94" s="64">
        <f t="shared" si="49"/>
        <v>0</v>
      </c>
      <c r="AJ94" s="62">
        <v>0</v>
      </c>
      <c r="AK94" s="8">
        <f t="shared" si="50"/>
        <v>0</v>
      </c>
      <c r="AL94" s="8">
        <f t="shared" si="51"/>
        <v>0</v>
      </c>
      <c r="AM94" s="8">
        <v>0</v>
      </c>
      <c r="AN94" s="8">
        <f t="shared" si="52"/>
        <v>0</v>
      </c>
      <c r="AO94" s="63">
        <f t="shared" si="53"/>
        <v>0</v>
      </c>
      <c r="AP94" s="64">
        <f t="shared" si="54"/>
        <v>0</v>
      </c>
      <c r="AQ94" s="120">
        <v>1049.9000000000001</v>
      </c>
      <c r="AR94" s="121">
        <f t="shared" si="55"/>
        <v>2.8764383561643836</v>
      </c>
      <c r="AS94" s="121">
        <f t="shared" si="56"/>
        <v>87.491666666666674</v>
      </c>
      <c r="AT94" s="121">
        <v>1049.9000000000001</v>
      </c>
      <c r="AU94" s="121">
        <f t="shared" si="57"/>
        <v>2.8764383561643836</v>
      </c>
      <c r="AV94" s="122">
        <f t="shared" si="58"/>
        <v>87.491666666666674</v>
      </c>
      <c r="AW94" s="64">
        <f t="shared" si="59"/>
        <v>0</v>
      </c>
      <c r="AX94" s="123" t="s">
        <v>535</v>
      </c>
      <c r="AY94" s="124" t="s">
        <v>535</v>
      </c>
      <c r="AZ94" s="60" t="s">
        <v>737</v>
      </c>
      <c r="BA94" s="60" t="s">
        <v>469</v>
      </c>
    </row>
    <row r="95" spans="1:53" ht="75">
      <c r="A95" s="79" t="s">
        <v>464</v>
      </c>
      <c r="B95" s="7" t="s">
        <v>738</v>
      </c>
      <c r="C95" s="7" t="s">
        <v>738</v>
      </c>
      <c r="D95" s="80" t="s">
        <v>739</v>
      </c>
      <c r="E95" s="80" t="s">
        <v>155</v>
      </c>
      <c r="F95" s="80" t="s">
        <v>522</v>
      </c>
      <c r="G95" s="81">
        <v>42444</v>
      </c>
      <c r="H95" s="82">
        <v>0</v>
      </c>
      <c r="I95" s="83">
        <f t="shared" si="30"/>
        <v>0</v>
      </c>
      <c r="J95" s="83">
        <f t="shared" si="31"/>
        <v>0</v>
      </c>
      <c r="K95" s="83">
        <v>0</v>
      </c>
      <c r="L95" s="83">
        <f t="shared" si="32"/>
        <v>0</v>
      </c>
      <c r="M95" s="84">
        <f t="shared" si="33"/>
        <v>0</v>
      </c>
      <c r="N95" s="64">
        <f t="shared" si="34"/>
        <v>0</v>
      </c>
      <c r="O95" s="62">
        <v>0</v>
      </c>
      <c r="P95" s="8">
        <f t="shared" si="35"/>
        <v>0</v>
      </c>
      <c r="Q95" s="8">
        <f t="shared" si="36"/>
        <v>0</v>
      </c>
      <c r="R95" s="8">
        <v>0</v>
      </c>
      <c r="S95" s="8">
        <f t="shared" si="37"/>
        <v>0</v>
      </c>
      <c r="T95" s="63">
        <f t="shared" si="38"/>
        <v>0</v>
      </c>
      <c r="U95" s="65">
        <f t="shared" si="39"/>
        <v>0</v>
      </c>
      <c r="V95" s="62">
        <v>0</v>
      </c>
      <c r="W95" s="8">
        <f t="shared" si="40"/>
        <v>0</v>
      </c>
      <c r="X95" s="8">
        <f t="shared" si="41"/>
        <v>0</v>
      </c>
      <c r="Y95" s="8">
        <v>0</v>
      </c>
      <c r="Z95" s="8">
        <f t="shared" si="42"/>
        <v>0</v>
      </c>
      <c r="AA95" s="63">
        <f t="shared" si="43"/>
        <v>0</v>
      </c>
      <c r="AB95" s="65">
        <f t="shared" si="44"/>
        <v>0</v>
      </c>
      <c r="AC95" s="62">
        <v>0</v>
      </c>
      <c r="AD95" s="8">
        <f t="shared" si="45"/>
        <v>0</v>
      </c>
      <c r="AE95" s="8">
        <f t="shared" si="46"/>
        <v>0</v>
      </c>
      <c r="AF95" s="8">
        <v>0</v>
      </c>
      <c r="AG95" s="8">
        <f t="shared" si="47"/>
        <v>0</v>
      </c>
      <c r="AH95" s="63">
        <f t="shared" si="48"/>
        <v>0</v>
      </c>
      <c r="AI95" s="64">
        <f t="shared" si="49"/>
        <v>0</v>
      </c>
      <c r="AJ95" s="62">
        <v>0</v>
      </c>
      <c r="AK95" s="8">
        <f t="shared" si="50"/>
        <v>0</v>
      </c>
      <c r="AL95" s="8">
        <f t="shared" si="51"/>
        <v>0</v>
      </c>
      <c r="AM95" s="8">
        <v>0</v>
      </c>
      <c r="AN95" s="8">
        <f t="shared" si="52"/>
        <v>0</v>
      </c>
      <c r="AO95" s="63">
        <f t="shared" si="53"/>
        <v>0</v>
      </c>
      <c r="AP95" s="64">
        <f t="shared" si="54"/>
        <v>0</v>
      </c>
      <c r="AQ95" s="66">
        <v>0</v>
      </c>
      <c r="AR95" s="37">
        <f t="shared" si="55"/>
        <v>0</v>
      </c>
      <c r="AS95" s="37">
        <f t="shared" si="56"/>
        <v>0</v>
      </c>
      <c r="AT95" s="37">
        <v>20.6</v>
      </c>
      <c r="AU95" s="37">
        <f t="shared" si="57"/>
        <v>5.6438356164383564E-2</v>
      </c>
      <c r="AV95" s="67">
        <f t="shared" si="58"/>
        <v>1.7166666666666668</v>
      </c>
      <c r="AW95" s="64">
        <f t="shared" si="59"/>
        <v>5.6438356164383564E-2</v>
      </c>
      <c r="AX95" s="85">
        <v>10</v>
      </c>
      <c r="AY95" s="86">
        <v>10</v>
      </c>
      <c r="AZ95" s="87" t="s">
        <v>740</v>
      </c>
      <c r="BA95" s="60" t="s">
        <v>469</v>
      </c>
    </row>
    <row r="96" spans="1:53">
      <c r="A96" s="79" t="s">
        <v>464</v>
      </c>
      <c r="B96" s="7" t="s">
        <v>741</v>
      </c>
      <c r="C96" s="7" t="s">
        <v>741</v>
      </c>
      <c r="D96" s="7" t="s">
        <v>742</v>
      </c>
      <c r="E96" s="80" t="s">
        <v>15</v>
      </c>
      <c r="F96" s="80" t="s">
        <v>630</v>
      </c>
      <c r="G96" s="81">
        <v>42446</v>
      </c>
      <c r="H96" s="82">
        <v>0</v>
      </c>
      <c r="I96" s="83">
        <f t="shared" si="30"/>
        <v>0</v>
      </c>
      <c r="J96" s="83">
        <f t="shared" si="31"/>
        <v>0</v>
      </c>
      <c r="K96" s="83">
        <v>13</v>
      </c>
      <c r="L96" s="83">
        <f t="shared" si="32"/>
        <v>3.5616438356164383E-2</v>
      </c>
      <c r="M96" s="84">
        <f t="shared" si="33"/>
        <v>1.0833333333333333</v>
      </c>
      <c r="N96" s="64">
        <f t="shared" si="34"/>
        <v>3.5616438356164383E-2</v>
      </c>
      <c r="O96" s="62">
        <v>0</v>
      </c>
      <c r="P96" s="8">
        <f t="shared" si="35"/>
        <v>0</v>
      </c>
      <c r="Q96" s="8">
        <f t="shared" si="36"/>
        <v>0</v>
      </c>
      <c r="R96" s="8">
        <v>0</v>
      </c>
      <c r="S96" s="8">
        <f t="shared" si="37"/>
        <v>0</v>
      </c>
      <c r="T96" s="63">
        <f t="shared" si="38"/>
        <v>0</v>
      </c>
      <c r="U96" s="65">
        <f t="shared" si="39"/>
        <v>0</v>
      </c>
      <c r="V96" s="62">
        <v>0</v>
      </c>
      <c r="W96" s="8">
        <f t="shared" si="40"/>
        <v>0</v>
      </c>
      <c r="X96" s="8">
        <f t="shared" si="41"/>
        <v>0</v>
      </c>
      <c r="Y96" s="8">
        <v>13</v>
      </c>
      <c r="Z96" s="8">
        <f t="shared" si="42"/>
        <v>3.5616438356164383E-2</v>
      </c>
      <c r="AA96" s="63">
        <f t="shared" si="43"/>
        <v>1.0833333333333333</v>
      </c>
      <c r="AB96" s="65">
        <f t="shared" si="44"/>
        <v>3.5616438356164383E-2</v>
      </c>
      <c r="AC96" s="62">
        <v>0</v>
      </c>
      <c r="AD96" s="8">
        <f t="shared" si="45"/>
        <v>0</v>
      </c>
      <c r="AE96" s="8">
        <f t="shared" si="46"/>
        <v>0</v>
      </c>
      <c r="AF96" s="8">
        <v>0</v>
      </c>
      <c r="AG96" s="8">
        <f t="shared" si="47"/>
        <v>0</v>
      </c>
      <c r="AH96" s="63">
        <f t="shared" si="48"/>
        <v>0</v>
      </c>
      <c r="AI96" s="64">
        <f t="shared" si="49"/>
        <v>0</v>
      </c>
      <c r="AJ96" s="62">
        <v>0</v>
      </c>
      <c r="AK96" s="8">
        <f t="shared" si="50"/>
        <v>0</v>
      </c>
      <c r="AL96" s="8">
        <f t="shared" si="51"/>
        <v>0</v>
      </c>
      <c r="AM96" s="8">
        <v>0</v>
      </c>
      <c r="AN96" s="8">
        <f t="shared" si="52"/>
        <v>0</v>
      </c>
      <c r="AO96" s="63">
        <f t="shared" si="53"/>
        <v>0</v>
      </c>
      <c r="AP96" s="64">
        <f t="shared" si="54"/>
        <v>0</v>
      </c>
      <c r="AQ96" s="66">
        <v>0</v>
      </c>
      <c r="AR96" s="37">
        <f t="shared" si="55"/>
        <v>0</v>
      </c>
      <c r="AS96" s="37">
        <f t="shared" si="56"/>
        <v>0</v>
      </c>
      <c r="AT96" s="37">
        <v>0</v>
      </c>
      <c r="AU96" s="37">
        <f t="shared" si="57"/>
        <v>0</v>
      </c>
      <c r="AV96" s="67">
        <f t="shared" si="58"/>
        <v>0</v>
      </c>
      <c r="AW96" s="64">
        <f t="shared" si="59"/>
        <v>0</v>
      </c>
      <c r="AX96" s="85">
        <v>2</v>
      </c>
      <c r="AY96" s="86">
        <v>2</v>
      </c>
      <c r="AZ96" s="87" t="s">
        <v>743</v>
      </c>
      <c r="BA96" s="60" t="s">
        <v>469</v>
      </c>
    </row>
    <row r="97" spans="1:53" ht="75">
      <c r="A97" s="7" t="s">
        <v>464</v>
      </c>
      <c r="B97" s="7" t="s">
        <v>744</v>
      </c>
      <c r="C97" s="7" t="s">
        <v>744</v>
      </c>
      <c r="D97" s="60" t="s">
        <v>745</v>
      </c>
      <c r="E97" s="6" t="s">
        <v>15</v>
      </c>
      <c r="F97" s="6" t="s">
        <v>467</v>
      </c>
      <c r="G97" s="71">
        <v>42458</v>
      </c>
      <c r="H97" s="62">
        <v>11.04</v>
      </c>
      <c r="I97" s="8">
        <f t="shared" si="30"/>
        <v>3.0246575342465751E-2</v>
      </c>
      <c r="J97" s="8">
        <f t="shared" si="31"/>
        <v>0.91999999999999993</v>
      </c>
      <c r="K97" s="8">
        <v>11.04</v>
      </c>
      <c r="L97" s="8">
        <f t="shared" si="32"/>
        <v>3.0246575342465751E-2</v>
      </c>
      <c r="M97" s="63">
        <f t="shared" si="33"/>
        <v>0.91999999999999993</v>
      </c>
      <c r="N97" s="64">
        <f t="shared" si="34"/>
        <v>0</v>
      </c>
      <c r="O97" s="62">
        <v>0</v>
      </c>
      <c r="P97" s="8">
        <f t="shared" si="35"/>
        <v>0</v>
      </c>
      <c r="Q97" s="8">
        <f t="shared" si="36"/>
        <v>0</v>
      </c>
      <c r="R97" s="8">
        <v>0</v>
      </c>
      <c r="S97" s="8">
        <f t="shared" si="37"/>
        <v>0</v>
      </c>
      <c r="T97" s="63">
        <f t="shared" si="38"/>
        <v>0</v>
      </c>
      <c r="U97" s="65">
        <f t="shared" si="39"/>
        <v>0</v>
      </c>
      <c r="V97" s="62">
        <v>11.04</v>
      </c>
      <c r="W97" s="8">
        <f t="shared" si="40"/>
        <v>3.0246575342465751E-2</v>
      </c>
      <c r="X97" s="8">
        <f t="shared" si="41"/>
        <v>0.91999999999999993</v>
      </c>
      <c r="Y97" s="8">
        <v>11.04</v>
      </c>
      <c r="Z97" s="8">
        <f t="shared" si="42"/>
        <v>3.0246575342465751E-2</v>
      </c>
      <c r="AA97" s="63">
        <f t="shared" si="43"/>
        <v>0.91999999999999993</v>
      </c>
      <c r="AB97" s="65">
        <f t="shared" si="44"/>
        <v>0</v>
      </c>
      <c r="AC97" s="62">
        <v>0</v>
      </c>
      <c r="AD97" s="8">
        <f t="shared" si="45"/>
        <v>0</v>
      </c>
      <c r="AE97" s="8">
        <f t="shared" si="46"/>
        <v>0</v>
      </c>
      <c r="AF97" s="8">
        <v>0</v>
      </c>
      <c r="AG97" s="8">
        <f t="shared" si="47"/>
        <v>0</v>
      </c>
      <c r="AH97" s="63">
        <f t="shared" si="48"/>
        <v>0</v>
      </c>
      <c r="AI97" s="64">
        <f t="shared" si="49"/>
        <v>0</v>
      </c>
      <c r="AJ97" s="62">
        <v>0</v>
      </c>
      <c r="AK97" s="8">
        <f t="shared" si="50"/>
        <v>0</v>
      </c>
      <c r="AL97" s="8">
        <f t="shared" si="51"/>
        <v>0</v>
      </c>
      <c r="AM97" s="8">
        <v>0</v>
      </c>
      <c r="AN97" s="8">
        <f t="shared" si="52"/>
        <v>0</v>
      </c>
      <c r="AO97" s="63">
        <f t="shared" si="53"/>
        <v>0</v>
      </c>
      <c r="AP97" s="64">
        <f t="shared" si="54"/>
        <v>0</v>
      </c>
      <c r="AQ97" s="66">
        <v>0</v>
      </c>
      <c r="AR97" s="37">
        <f t="shared" si="55"/>
        <v>0</v>
      </c>
      <c r="AS97" s="37">
        <f t="shared" si="56"/>
        <v>0</v>
      </c>
      <c r="AT97" s="37">
        <v>0</v>
      </c>
      <c r="AU97" s="37">
        <f t="shared" si="57"/>
        <v>0</v>
      </c>
      <c r="AV97" s="67">
        <f t="shared" si="58"/>
        <v>0</v>
      </c>
      <c r="AW97" s="64">
        <f t="shared" si="59"/>
        <v>0</v>
      </c>
      <c r="AX97" s="68" t="s">
        <v>482</v>
      </c>
      <c r="AY97" s="69">
        <v>6</v>
      </c>
      <c r="AZ97" s="6" t="s">
        <v>746</v>
      </c>
      <c r="BA97" s="6" t="s">
        <v>469</v>
      </c>
    </row>
    <row r="98" spans="1:53" ht="30">
      <c r="A98" s="16" t="s">
        <v>464</v>
      </c>
      <c r="B98" s="16" t="s">
        <v>747</v>
      </c>
      <c r="C98" s="16" t="s">
        <v>747</v>
      </c>
      <c r="D98" s="125" t="s">
        <v>748</v>
      </c>
      <c r="E98" s="126" t="s">
        <v>15</v>
      </c>
      <c r="F98" s="126" t="s">
        <v>473</v>
      </c>
      <c r="G98" s="127">
        <v>42459</v>
      </c>
      <c r="H98" s="66">
        <v>0</v>
      </c>
      <c r="I98" s="37">
        <f t="shared" si="30"/>
        <v>0</v>
      </c>
      <c r="J98" s="37">
        <f t="shared" si="31"/>
        <v>0</v>
      </c>
      <c r="K98" s="37">
        <v>0</v>
      </c>
      <c r="L98" s="37">
        <f t="shared" si="32"/>
        <v>0</v>
      </c>
      <c r="M98" s="67">
        <f t="shared" si="33"/>
        <v>0</v>
      </c>
      <c r="N98" s="64">
        <f t="shared" si="34"/>
        <v>0</v>
      </c>
      <c r="O98" s="62">
        <v>0</v>
      </c>
      <c r="P98" s="8">
        <f t="shared" si="35"/>
        <v>0</v>
      </c>
      <c r="Q98" s="8">
        <f t="shared" si="36"/>
        <v>0</v>
      </c>
      <c r="R98" s="8">
        <v>0</v>
      </c>
      <c r="S98" s="8">
        <f t="shared" si="37"/>
        <v>0</v>
      </c>
      <c r="T98" s="63">
        <f t="shared" si="38"/>
        <v>0</v>
      </c>
      <c r="U98" s="65">
        <f t="shared" si="39"/>
        <v>0</v>
      </c>
      <c r="V98" s="62">
        <v>0</v>
      </c>
      <c r="W98" s="8">
        <f t="shared" si="40"/>
        <v>0</v>
      </c>
      <c r="X98" s="8">
        <f t="shared" si="41"/>
        <v>0</v>
      </c>
      <c r="Y98" s="8">
        <v>0</v>
      </c>
      <c r="Z98" s="8">
        <f t="shared" si="42"/>
        <v>0</v>
      </c>
      <c r="AA98" s="63">
        <f t="shared" si="43"/>
        <v>0</v>
      </c>
      <c r="AB98" s="65">
        <f t="shared" si="44"/>
        <v>0</v>
      </c>
      <c r="AC98" s="62">
        <v>0</v>
      </c>
      <c r="AD98" s="8">
        <f t="shared" si="45"/>
        <v>0</v>
      </c>
      <c r="AE98" s="8">
        <f t="shared" si="46"/>
        <v>0</v>
      </c>
      <c r="AF98" s="8">
        <v>0</v>
      </c>
      <c r="AG98" s="8">
        <f t="shared" si="47"/>
        <v>0</v>
      </c>
      <c r="AH98" s="63">
        <f t="shared" si="48"/>
        <v>0</v>
      </c>
      <c r="AI98" s="64">
        <f t="shared" si="49"/>
        <v>0</v>
      </c>
      <c r="AJ98" s="62">
        <v>0</v>
      </c>
      <c r="AK98" s="8">
        <f t="shared" si="50"/>
        <v>0</v>
      </c>
      <c r="AL98" s="8">
        <f t="shared" si="51"/>
        <v>0</v>
      </c>
      <c r="AM98" s="8">
        <v>0</v>
      </c>
      <c r="AN98" s="8">
        <f t="shared" si="52"/>
        <v>0</v>
      </c>
      <c r="AO98" s="63">
        <f t="shared" si="53"/>
        <v>0</v>
      </c>
      <c r="AP98" s="64">
        <f t="shared" si="54"/>
        <v>0</v>
      </c>
      <c r="AQ98" s="66">
        <v>0</v>
      </c>
      <c r="AR98" s="37">
        <f t="shared" si="55"/>
        <v>0</v>
      </c>
      <c r="AS98" s="37">
        <f t="shared" si="56"/>
        <v>0</v>
      </c>
      <c r="AT98" s="37">
        <v>0</v>
      </c>
      <c r="AU98" s="37">
        <f t="shared" si="57"/>
        <v>0</v>
      </c>
      <c r="AV98" s="67">
        <f t="shared" si="58"/>
        <v>0</v>
      </c>
      <c r="AW98" s="64">
        <f t="shared" si="59"/>
        <v>0</v>
      </c>
      <c r="AX98" s="128"/>
      <c r="AY98" s="129"/>
      <c r="AZ98" s="73" t="s">
        <v>723</v>
      </c>
      <c r="BA98" s="126" t="s">
        <v>486</v>
      </c>
    </row>
    <row r="99" spans="1:53" ht="30">
      <c r="A99" s="115" t="s">
        <v>464</v>
      </c>
      <c r="B99" s="7" t="s">
        <v>749</v>
      </c>
      <c r="C99" s="7" t="s">
        <v>749</v>
      </c>
      <c r="D99" s="35" t="s">
        <v>750</v>
      </c>
      <c r="E99" s="60" t="s">
        <v>155</v>
      </c>
      <c r="F99" s="60" t="s">
        <v>522</v>
      </c>
      <c r="G99" s="116">
        <v>42471</v>
      </c>
      <c r="H99" s="117">
        <v>0</v>
      </c>
      <c r="I99" s="118">
        <f t="shared" si="30"/>
        <v>0</v>
      </c>
      <c r="J99" s="118">
        <f t="shared" si="31"/>
        <v>0</v>
      </c>
      <c r="K99" s="118">
        <v>0</v>
      </c>
      <c r="L99" s="118">
        <f t="shared" si="32"/>
        <v>0</v>
      </c>
      <c r="M99" s="119">
        <f t="shared" si="33"/>
        <v>0</v>
      </c>
      <c r="N99" s="64">
        <f t="shared" si="34"/>
        <v>0</v>
      </c>
      <c r="O99" s="62">
        <v>0</v>
      </c>
      <c r="P99" s="8">
        <f t="shared" si="35"/>
        <v>0</v>
      </c>
      <c r="Q99" s="8">
        <f t="shared" si="36"/>
        <v>0</v>
      </c>
      <c r="R99" s="8">
        <v>0</v>
      </c>
      <c r="S99" s="8">
        <f t="shared" si="37"/>
        <v>0</v>
      </c>
      <c r="T99" s="63">
        <f t="shared" si="38"/>
        <v>0</v>
      </c>
      <c r="U99" s="65">
        <f t="shared" si="39"/>
        <v>0</v>
      </c>
      <c r="V99" s="62">
        <v>0</v>
      </c>
      <c r="W99" s="8">
        <f t="shared" si="40"/>
        <v>0</v>
      </c>
      <c r="X99" s="8">
        <f t="shared" si="41"/>
        <v>0</v>
      </c>
      <c r="Y99" s="8">
        <v>0</v>
      </c>
      <c r="Z99" s="8">
        <f t="shared" si="42"/>
        <v>0</v>
      </c>
      <c r="AA99" s="63">
        <f t="shared" si="43"/>
        <v>0</v>
      </c>
      <c r="AB99" s="65">
        <f t="shared" si="44"/>
        <v>0</v>
      </c>
      <c r="AC99" s="62">
        <v>0</v>
      </c>
      <c r="AD99" s="8">
        <f t="shared" si="45"/>
        <v>0</v>
      </c>
      <c r="AE99" s="8">
        <f t="shared" si="46"/>
        <v>0</v>
      </c>
      <c r="AF99" s="8">
        <v>0</v>
      </c>
      <c r="AG99" s="8">
        <f t="shared" si="47"/>
        <v>0</v>
      </c>
      <c r="AH99" s="63">
        <f t="shared" si="48"/>
        <v>0</v>
      </c>
      <c r="AI99" s="64">
        <f t="shared" si="49"/>
        <v>0</v>
      </c>
      <c r="AJ99" s="62">
        <v>0</v>
      </c>
      <c r="AK99" s="8">
        <f t="shared" si="50"/>
        <v>0</v>
      </c>
      <c r="AL99" s="8">
        <f t="shared" si="51"/>
        <v>0</v>
      </c>
      <c r="AM99" s="8">
        <v>0</v>
      </c>
      <c r="AN99" s="8">
        <f t="shared" si="52"/>
        <v>0</v>
      </c>
      <c r="AO99" s="63">
        <f t="shared" si="53"/>
        <v>0</v>
      </c>
      <c r="AP99" s="64">
        <f t="shared" si="54"/>
        <v>0</v>
      </c>
      <c r="AQ99" s="120">
        <v>0</v>
      </c>
      <c r="AR99" s="121">
        <f t="shared" si="55"/>
        <v>0</v>
      </c>
      <c r="AS99" s="121">
        <f t="shared" si="56"/>
        <v>0</v>
      </c>
      <c r="AT99" s="121">
        <v>34</v>
      </c>
      <c r="AU99" s="121">
        <f t="shared" si="57"/>
        <v>9.3150684931506855E-2</v>
      </c>
      <c r="AV99" s="122">
        <f t="shared" si="58"/>
        <v>2.8333333333333335</v>
      </c>
      <c r="AW99" s="64">
        <f t="shared" si="59"/>
        <v>9.3150684931506855E-2</v>
      </c>
      <c r="AX99" s="123">
        <v>5</v>
      </c>
      <c r="AY99" s="124">
        <f>2021-2016</f>
        <v>5</v>
      </c>
      <c r="AZ99" s="60" t="s">
        <v>751</v>
      </c>
      <c r="BA99" s="6" t="s">
        <v>469</v>
      </c>
    </row>
    <row r="100" spans="1:53" ht="30">
      <c r="A100" s="79" t="s">
        <v>464</v>
      </c>
      <c r="B100" s="7" t="s">
        <v>752</v>
      </c>
      <c r="C100" s="7" t="s">
        <v>752</v>
      </c>
      <c r="D100" s="7" t="s">
        <v>546</v>
      </c>
      <c r="E100" s="80" t="s">
        <v>547</v>
      </c>
      <c r="F100" s="80" t="s">
        <v>548</v>
      </c>
      <c r="G100" s="81">
        <v>42478</v>
      </c>
      <c r="H100" s="82">
        <v>0.59</v>
      </c>
      <c r="I100" s="83">
        <f t="shared" si="30"/>
        <v>1.6164383561643836E-3</v>
      </c>
      <c r="J100" s="83">
        <f t="shared" si="31"/>
        <v>4.9166666666666664E-2</v>
      </c>
      <c r="K100" s="83">
        <v>0</v>
      </c>
      <c r="L100" s="83">
        <f t="shared" si="32"/>
        <v>0</v>
      </c>
      <c r="M100" s="84">
        <f t="shared" si="33"/>
        <v>0</v>
      </c>
      <c r="N100" s="64">
        <f t="shared" si="34"/>
        <v>-1.6164383561643836E-3</v>
      </c>
      <c r="O100" s="62">
        <v>0.59</v>
      </c>
      <c r="P100" s="8">
        <f t="shared" si="35"/>
        <v>1.6164383561643836E-3</v>
      </c>
      <c r="Q100" s="8">
        <f t="shared" si="36"/>
        <v>4.9166666666666664E-2</v>
      </c>
      <c r="R100" s="8">
        <v>0</v>
      </c>
      <c r="S100" s="8">
        <f t="shared" si="37"/>
        <v>0</v>
      </c>
      <c r="T100" s="63">
        <f t="shared" si="38"/>
        <v>0</v>
      </c>
      <c r="U100" s="65">
        <f t="shared" si="39"/>
        <v>-1.6164383561643836E-3</v>
      </c>
      <c r="V100" s="62">
        <v>0</v>
      </c>
      <c r="W100" s="8">
        <f t="shared" si="40"/>
        <v>0</v>
      </c>
      <c r="X100" s="8">
        <f t="shared" si="41"/>
        <v>0</v>
      </c>
      <c r="Y100" s="8">
        <v>0</v>
      </c>
      <c r="Z100" s="8">
        <f t="shared" si="42"/>
        <v>0</v>
      </c>
      <c r="AA100" s="63">
        <f t="shared" si="43"/>
        <v>0</v>
      </c>
      <c r="AB100" s="65">
        <f t="shared" si="44"/>
        <v>0</v>
      </c>
      <c r="AC100" s="62">
        <v>0</v>
      </c>
      <c r="AD100" s="8">
        <f t="shared" si="45"/>
        <v>0</v>
      </c>
      <c r="AE100" s="8">
        <f t="shared" si="46"/>
        <v>0</v>
      </c>
      <c r="AF100" s="8">
        <v>0</v>
      </c>
      <c r="AG100" s="8">
        <f t="shared" si="47"/>
        <v>0</v>
      </c>
      <c r="AH100" s="63">
        <f t="shared" si="48"/>
        <v>0</v>
      </c>
      <c r="AI100" s="64">
        <f t="shared" si="49"/>
        <v>0</v>
      </c>
      <c r="AJ100" s="62">
        <v>0</v>
      </c>
      <c r="AK100" s="8">
        <f t="shared" si="50"/>
        <v>0</v>
      </c>
      <c r="AL100" s="8">
        <f t="shared" si="51"/>
        <v>0</v>
      </c>
      <c r="AM100" s="8">
        <v>0</v>
      </c>
      <c r="AN100" s="8">
        <f t="shared" si="52"/>
        <v>0</v>
      </c>
      <c r="AO100" s="63">
        <f t="shared" si="53"/>
        <v>0</v>
      </c>
      <c r="AP100" s="64">
        <f t="shared" si="54"/>
        <v>0</v>
      </c>
      <c r="AQ100" s="66">
        <v>7.3</v>
      </c>
      <c r="AR100" s="37">
        <f t="shared" si="55"/>
        <v>0.02</v>
      </c>
      <c r="AS100" s="37">
        <f t="shared" si="56"/>
        <v>0.60833333333333328</v>
      </c>
      <c r="AT100" s="37">
        <v>0</v>
      </c>
      <c r="AU100" s="37">
        <f t="shared" si="57"/>
        <v>0</v>
      </c>
      <c r="AV100" s="67">
        <f t="shared" si="58"/>
        <v>0</v>
      </c>
      <c r="AW100" s="64">
        <f t="shared" si="59"/>
        <v>-0.02</v>
      </c>
      <c r="AX100" s="85">
        <v>0</v>
      </c>
      <c r="AY100" s="86" t="s">
        <v>613</v>
      </c>
      <c r="AZ100" s="87"/>
      <c r="BA100" s="73" t="s">
        <v>563</v>
      </c>
    </row>
    <row r="101" spans="1:53" ht="90">
      <c r="A101" s="115" t="s">
        <v>464</v>
      </c>
      <c r="B101" s="7" t="s">
        <v>753</v>
      </c>
      <c r="C101" s="7" t="s">
        <v>753</v>
      </c>
      <c r="D101" s="35" t="s">
        <v>754</v>
      </c>
      <c r="E101" s="60" t="s">
        <v>155</v>
      </c>
      <c r="F101" s="70" t="s">
        <v>522</v>
      </c>
      <c r="G101" s="116">
        <v>42479</v>
      </c>
      <c r="H101" s="117">
        <v>0</v>
      </c>
      <c r="I101" s="118">
        <f t="shared" si="30"/>
        <v>0</v>
      </c>
      <c r="J101" s="118">
        <f t="shared" si="31"/>
        <v>0</v>
      </c>
      <c r="K101" s="118">
        <v>0</v>
      </c>
      <c r="L101" s="118">
        <f t="shared" si="32"/>
        <v>0</v>
      </c>
      <c r="M101" s="119">
        <f t="shared" si="33"/>
        <v>0</v>
      </c>
      <c r="N101" s="64">
        <f t="shared" si="34"/>
        <v>0</v>
      </c>
      <c r="O101" s="62">
        <v>0</v>
      </c>
      <c r="P101" s="8">
        <f t="shared" si="35"/>
        <v>0</v>
      </c>
      <c r="Q101" s="8">
        <f t="shared" si="36"/>
        <v>0</v>
      </c>
      <c r="R101" s="8">
        <v>0</v>
      </c>
      <c r="S101" s="8">
        <f t="shared" si="37"/>
        <v>0</v>
      </c>
      <c r="T101" s="63">
        <f t="shared" si="38"/>
        <v>0</v>
      </c>
      <c r="U101" s="65">
        <f t="shared" si="39"/>
        <v>0</v>
      </c>
      <c r="V101" s="62">
        <v>0</v>
      </c>
      <c r="W101" s="8">
        <f t="shared" si="40"/>
        <v>0</v>
      </c>
      <c r="X101" s="8">
        <f t="shared" si="41"/>
        <v>0</v>
      </c>
      <c r="Y101" s="8">
        <v>0</v>
      </c>
      <c r="Z101" s="8">
        <f t="shared" si="42"/>
        <v>0</v>
      </c>
      <c r="AA101" s="63">
        <f t="shared" si="43"/>
        <v>0</v>
      </c>
      <c r="AB101" s="65">
        <f t="shared" si="44"/>
        <v>0</v>
      </c>
      <c r="AC101" s="62">
        <v>0</v>
      </c>
      <c r="AD101" s="8">
        <f t="shared" si="45"/>
        <v>0</v>
      </c>
      <c r="AE101" s="8">
        <f t="shared" si="46"/>
        <v>0</v>
      </c>
      <c r="AF101" s="8">
        <v>0</v>
      </c>
      <c r="AG101" s="8">
        <f t="shared" si="47"/>
        <v>0</v>
      </c>
      <c r="AH101" s="63">
        <f t="shared" si="48"/>
        <v>0</v>
      </c>
      <c r="AI101" s="64">
        <f t="shared" si="49"/>
        <v>0</v>
      </c>
      <c r="AJ101" s="62">
        <v>0</v>
      </c>
      <c r="AK101" s="8">
        <f t="shared" si="50"/>
        <v>0</v>
      </c>
      <c r="AL101" s="8">
        <f t="shared" si="51"/>
        <v>0</v>
      </c>
      <c r="AM101" s="8">
        <v>0</v>
      </c>
      <c r="AN101" s="8">
        <f t="shared" si="52"/>
        <v>0</v>
      </c>
      <c r="AO101" s="63">
        <f t="shared" si="53"/>
        <v>0</v>
      </c>
      <c r="AP101" s="64">
        <f t="shared" si="54"/>
        <v>0</v>
      </c>
      <c r="AQ101" s="120">
        <v>0</v>
      </c>
      <c r="AR101" s="121">
        <f t="shared" si="55"/>
        <v>0</v>
      </c>
      <c r="AS101" s="121">
        <f t="shared" si="56"/>
        <v>0</v>
      </c>
      <c r="AT101" s="121">
        <v>0</v>
      </c>
      <c r="AU101" s="121">
        <f t="shared" si="57"/>
        <v>0</v>
      </c>
      <c r="AV101" s="122">
        <f t="shared" si="58"/>
        <v>0</v>
      </c>
      <c r="AW101" s="64">
        <f t="shared" si="59"/>
        <v>0</v>
      </c>
      <c r="AX101" s="123">
        <v>0</v>
      </c>
      <c r="AY101" s="152" t="s">
        <v>563</v>
      </c>
      <c r="AZ101" s="60" t="s">
        <v>755</v>
      </c>
      <c r="BA101" s="73" t="s">
        <v>563</v>
      </c>
    </row>
    <row r="102" spans="1:53" ht="30">
      <c r="A102" s="115" t="s">
        <v>464</v>
      </c>
      <c r="B102" s="7" t="s">
        <v>756</v>
      </c>
      <c r="C102" s="7" t="s">
        <v>756</v>
      </c>
      <c r="D102" s="7" t="s">
        <v>757</v>
      </c>
      <c r="E102" s="60" t="s">
        <v>15</v>
      </c>
      <c r="F102" s="70" t="s">
        <v>477</v>
      </c>
      <c r="G102" s="116">
        <v>42485</v>
      </c>
      <c r="H102" s="117">
        <v>21.06</v>
      </c>
      <c r="I102" s="118">
        <f t="shared" si="30"/>
        <v>5.7698630136986298E-2</v>
      </c>
      <c r="J102" s="118">
        <f t="shared" si="31"/>
        <v>1.7549999999999999</v>
      </c>
      <c r="K102" s="118">
        <v>21.06</v>
      </c>
      <c r="L102" s="118">
        <f t="shared" si="32"/>
        <v>5.7698630136986298E-2</v>
      </c>
      <c r="M102" s="119">
        <f t="shared" si="33"/>
        <v>1.7549999999999999</v>
      </c>
      <c r="N102" s="64">
        <f t="shared" si="34"/>
        <v>0</v>
      </c>
      <c r="O102" s="62">
        <v>0</v>
      </c>
      <c r="P102" s="8">
        <f t="shared" si="35"/>
        <v>0</v>
      </c>
      <c r="Q102" s="8">
        <f t="shared" si="36"/>
        <v>0</v>
      </c>
      <c r="R102" s="8">
        <v>0</v>
      </c>
      <c r="S102" s="8">
        <f t="shared" si="37"/>
        <v>0</v>
      </c>
      <c r="T102" s="63">
        <f t="shared" si="38"/>
        <v>0</v>
      </c>
      <c r="U102" s="65">
        <f t="shared" si="39"/>
        <v>0</v>
      </c>
      <c r="V102" s="62">
        <v>21.06</v>
      </c>
      <c r="W102" s="8">
        <f t="shared" si="40"/>
        <v>5.7698630136986298E-2</v>
      </c>
      <c r="X102" s="8">
        <f t="shared" si="41"/>
        <v>1.7549999999999999</v>
      </c>
      <c r="Y102" s="8">
        <v>21.06</v>
      </c>
      <c r="Z102" s="8">
        <f t="shared" si="42"/>
        <v>5.7698630136986298E-2</v>
      </c>
      <c r="AA102" s="63">
        <f t="shared" si="43"/>
        <v>1.7549999999999999</v>
      </c>
      <c r="AB102" s="65">
        <f t="shared" si="44"/>
        <v>0</v>
      </c>
      <c r="AC102" s="62">
        <v>0</v>
      </c>
      <c r="AD102" s="8">
        <f t="shared" si="45"/>
        <v>0</v>
      </c>
      <c r="AE102" s="8">
        <f t="shared" si="46"/>
        <v>0</v>
      </c>
      <c r="AF102" s="8">
        <v>0</v>
      </c>
      <c r="AG102" s="8">
        <f t="shared" si="47"/>
        <v>0</v>
      </c>
      <c r="AH102" s="63">
        <f t="shared" si="48"/>
        <v>0</v>
      </c>
      <c r="AI102" s="64">
        <f t="shared" si="49"/>
        <v>0</v>
      </c>
      <c r="AJ102" s="62">
        <v>0</v>
      </c>
      <c r="AK102" s="8">
        <f t="shared" si="50"/>
        <v>0</v>
      </c>
      <c r="AL102" s="8">
        <f t="shared" si="51"/>
        <v>0</v>
      </c>
      <c r="AM102" s="8">
        <v>0</v>
      </c>
      <c r="AN102" s="8">
        <f t="shared" si="52"/>
        <v>0</v>
      </c>
      <c r="AO102" s="63">
        <f t="shared" si="53"/>
        <v>0</v>
      </c>
      <c r="AP102" s="64">
        <f t="shared" si="54"/>
        <v>0</v>
      </c>
      <c r="AQ102" s="120">
        <v>0</v>
      </c>
      <c r="AR102" s="121">
        <f t="shared" si="55"/>
        <v>0</v>
      </c>
      <c r="AS102" s="121">
        <f t="shared" si="56"/>
        <v>0</v>
      </c>
      <c r="AT102" s="121">
        <v>0</v>
      </c>
      <c r="AU102" s="121">
        <f t="shared" si="57"/>
        <v>0</v>
      </c>
      <c r="AV102" s="122">
        <f t="shared" si="58"/>
        <v>0</v>
      </c>
      <c r="AW102" s="64">
        <f t="shared" si="59"/>
        <v>0</v>
      </c>
      <c r="AX102" s="123" t="s">
        <v>482</v>
      </c>
      <c r="AY102" s="124">
        <v>15</v>
      </c>
      <c r="AZ102" s="60" t="s">
        <v>758</v>
      </c>
      <c r="BA102" s="6" t="s">
        <v>469</v>
      </c>
    </row>
    <row r="103" spans="1:53" ht="30">
      <c r="A103" s="115" t="s">
        <v>464</v>
      </c>
      <c r="B103" s="7" t="s">
        <v>759</v>
      </c>
      <c r="C103" s="7" t="s">
        <v>760</v>
      </c>
      <c r="D103" s="7" t="s">
        <v>761</v>
      </c>
      <c r="E103" s="60" t="s">
        <v>155</v>
      </c>
      <c r="F103" s="70" t="s">
        <v>514</v>
      </c>
      <c r="G103" s="116">
        <v>42494</v>
      </c>
      <c r="H103" s="117">
        <v>0</v>
      </c>
      <c r="I103" s="118">
        <f t="shared" si="30"/>
        <v>0</v>
      </c>
      <c r="J103" s="118">
        <f t="shared" si="31"/>
        <v>0</v>
      </c>
      <c r="K103" s="118">
        <v>0</v>
      </c>
      <c r="L103" s="118">
        <f t="shared" si="32"/>
        <v>0</v>
      </c>
      <c r="M103" s="119">
        <f t="shared" si="33"/>
        <v>0</v>
      </c>
      <c r="N103" s="64">
        <f t="shared" si="34"/>
        <v>0</v>
      </c>
      <c r="O103" s="62">
        <v>0</v>
      </c>
      <c r="P103" s="8">
        <f t="shared" si="35"/>
        <v>0</v>
      </c>
      <c r="Q103" s="8">
        <f t="shared" si="36"/>
        <v>0</v>
      </c>
      <c r="R103" s="8">
        <v>0</v>
      </c>
      <c r="S103" s="8">
        <f t="shared" si="37"/>
        <v>0</v>
      </c>
      <c r="T103" s="63">
        <f t="shared" si="38"/>
        <v>0</v>
      </c>
      <c r="U103" s="65">
        <f t="shared" si="39"/>
        <v>0</v>
      </c>
      <c r="V103" s="62">
        <v>0</v>
      </c>
      <c r="W103" s="8">
        <f t="shared" si="40"/>
        <v>0</v>
      </c>
      <c r="X103" s="8">
        <f t="shared" si="41"/>
        <v>0</v>
      </c>
      <c r="Y103" s="8">
        <v>0</v>
      </c>
      <c r="Z103" s="8">
        <f t="shared" si="42"/>
        <v>0</v>
      </c>
      <c r="AA103" s="63">
        <f t="shared" si="43"/>
        <v>0</v>
      </c>
      <c r="AB103" s="65">
        <f t="shared" si="44"/>
        <v>0</v>
      </c>
      <c r="AC103" s="62">
        <v>0</v>
      </c>
      <c r="AD103" s="8">
        <f t="shared" si="45"/>
        <v>0</v>
      </c>
      <c r="AE103" s="8">
        <f t="shared" si="46"/>
        <v>0</v>
      </c>
      <c r="AF103" s="8">
        <v>0</v>
      </c>
      <c r="AG103" s="8">
        <f t="shared" si="47"/>
        <v>0</v>
      </c>
      <c r="AH103" s="63">
        <f t="shared" si="48"/>
        <v>0</v>
      </c>
      <c r="AI103" s="64">
        <f t="shared" si="49"/>
        <v>0</v>
      </c>
      <c r="AJ103" s="62">
        <v>0</v>
      </c>
      <c r="AK103" s="8">
        <f t="shared" si="50"/>
        <v>0</v>
      </c>
      <c r="AL103" s="8">
        <f t="shared" si="51"/>
        <v>0</v>
      </c>
      <c r="AM103" s="8">
        <v>0</v>
      </c>
      <c r="AN103" s="8">
        <f t="shared" si="52"/>
        <v>0</v>
      </c>
      <c r="AO103" s="63">
        <f t="shared" si="53"/>
        <v>0</v>
      </c>
      <c r="AP103" s="64">
        <f t="shared" si="54"/>
        <v>0</v>
      </c>
      <c r="AQ103" s="120">
        <v>0</v>
      </c>
      <c r="AR103" s="121">
        <f t="shared" si="55"/>
        <v>0</v>
      </c>
      <c r="AS103" s="121">
        <f t="shared" si="56"/>
        <v>0</v>
      </c>
      <c r="AT103" s="121">
        <v>8.8000000000000007</v>
      </c>
      <c r="AU103" s="121">
        <f t="shared" si="57"/>
        <v>2.4109589041095891E-2</v>
      </c>
      <c r="AV103" s="122">
        <f t="shared" si="58"/>
        <v>0.73333333333333339</v>
      </c>
      <c r="AW103" s="64">
        <f t="shared" si="59"/>
        <v>2.4109589041095891E-2</v>
      </c>
      <c r="AX103" s="123">
        <v>20</v>
      </c>
      <c r="AY103" s="124">
        <v>20</v>
      </c>
      <c r="AZ103" s="60"/>
      <c r="BA103" s="6" t="s">
        <v>469</v>
      </c>
    </row>
    <row r="104" spans="1:53">
      <c r="A104" s="115" t="s">
        <v>464</v>
      </c>
      <c r="B104" s="7" t="s">
        <v>762</v>
      </c>
      <c r="C104" s="7" t="s">
        <v>763</v>
      </c>
      <c r="D104" s="7" t="s">
        <v>764</v>
      </c>
      <c r="E104" s="60" t="s">
        <v>15</v>
      </c>
      <c r="F104" s="70" t="s">
        <v>477</v>
      </c>
      <c r="G104" s="116">
        <v>42500</v>
      </c>
      <c r="H104" s="117">
        <v>1.23</v>
      </c>
      <c r="I104" s="118">
        <f t="shared" si="30"/>
        <v>3.3698630136986302E-3</v>
      </c>
      <c r="J104" s="118">
        <f t="shared" si="31"/>
        <v>0.10249999999999999</v>
      </c>
      <c r="K104" s="118">
        <v>1.23</v>
      </c>
      <c r="L104" s="118">
        <f t="shared" si="32"/>
        <v>3.3698630136986302E-3</v>
      </c>
      <c r="M104" s="119">
        <f t="shared" si="33"/>
        <v>0.10249999999999999</v>
      </c>
      <c r="N104" s="64">
        <f t="shared" si="34"/>
        <v>0</v>
      </c>
      <c r="O104" s="62">
        <v>0</v>
      </c>
      <c r="P104" s="8">
        <f t="shared" si="35"/>
        <v>0</v>
      </c>
      <c r="Q104" s="8">
        <f t="shared" si="36"/>
        <v>0</v>
      </c>
      <c r="R104" s="8">
        <v>0</v>
      </c>
      <c r="S104" s="8">
        <f t="shared" si="37"/>
        <v>0</v>
      </c>
      <c r="T104" s="63">
        <f t="shared" si="38"/>
        <v>0</v>
      </c>
      <c r="U104" s="65">
        <f t="shared" si="39"/>
        <v>0</v>
      </c>
      <c r="V104" s="62">
        <v>1.23</v>
      </c>
      <c r="W104" s="8">
        <f t="shared" si="40"/>
        <v>3.3698630136986302E-3</v>
      </c>
      <c r="X104" s="8">
        <f t="shared" si="41"/>
        <v>0.10249999999999999</v>
      </c>
      <c r="Y104" s="8">
        <v>1.23</v>
      </c>
      <c r="Z104" s="8">
        <f t="shared" si="42"/>
        <v>3.3698630136986302E-3</v>
      </c>
      <c r="AA104" s="63">
        <f t="shared" si="43"/>
        <v>0.10249999999999999</v>
      </c>
      <c r="AB104" s="65">
        <f t="shared" si="44"/>
        <v>0</v>
      </c>
      <c r="AC104" s="62">
        <v>0</v>
      </c>
      <c r="AD104" s="8">
        <f t="shared" si="45"/>
        <v>0</v>
      </c>
      <c r="AE104" s="8">
        <f t="shared" si="46"/>
        <v>0</v>
      </c>
      <c r="AF104" s="8">
        <v>0</v>
      </c>
      <c r="AG104" s="8">
        <f t="shared" si="47"/>
        <v>0</v>
      </c>
      <c r="AH104" s="63">
        <f t="shared" si="48"/>
        <v>0</v>
      </c>
      <c r="AI104" s="64">
        <f t="shared" si="49"/>
        <v>0</v>
      </c>
      <c r="AJ104" s="62">
        <v>0</v>
      </c>
      <c r="AK104" s="8">
        <f t="shared" si="50"/>
        <v>0</v>
      </c>
      <c r="AL104" s="8">
        <f t="shared" si="51"/>
        <v>0</v>
      </c>
      <c r="AM104" s="8">
        <v>0</v>
      </c>
      <c r="AN104" s="8">
        <f t="shared" si="52"/>
        <v>0</v>
      </c>
      <c r="AO104" s="63">
        <f t="shared" si="53"/>
        <v>0</v>
      </c>
      <c r="AP104" s="64">
        <f t="shared" si="54"/>
        <v>0</v>
      </c>
      <c r="AQ104" s="120">
        <v>0</v>
      </c>
      <c r="AR104" s="121">
        <f t="shared" si="55"/>
        <v>0</v>
      </c>
      <c r="AS104" s="121">
        <f t="shared" si="56"/>
        <v>0</v>
      </c>
      <c r="AT104" s="121">
        <v>0</v>
      </c>
      <c r="AU104" s="121">
        <f t="shared" si="57"/>
        <v>0</v>
      </c>
      <c r="AV104" s="122">
        <f t="shared" si="58"/>
        <v>0</v>
      </c>
      <c r="AW104" s="64">
        <f t="shared" si="59"/>
        <v>0</v>
      </c>
      <c r="AX104" s="123">
        <v>20</v>
      </c>
      <c r="AY104" s="124">
        <v>10</v>
      </c>
      <c r="AZ104" s="60" t="s">
        <v>765</v>
      </c>
      <c r="BA104" s="6" t="s">
        <v>469</v>
      </c>
    </row>
    <row r="105" spans="1:53">
      <c r="A105" s="115" t="s">
        <v>464</v>
      </c>
      <c r="B105" s="7" t="s">
        <v>766</v>
      </c>
      <c r="C105" s="7" t="s">
        <v>767</v>
      </c>
      <c r="D105" s="7" t="s">
        <v>768</v>
      </c>
      <c r="E105" s="60" t="s">
        <v>15</v>
      </c>
      <c r="F105" s="70" t="s">
        <v>477</v>
      </c>
      <c r="G105" s="116">
        <v>42517</v>
      </c>
      <c r="H105" s="117">
        <v>10.220000000000001</v>
      </c>
      <c r="I105" s="118">
        <f t="shared" si="30"/>
        <v>2.8000000000000001E-2</v>
      </c>
      <c r="J105" s="118">
        <f t="shared" si="31"/>
        <v>0.85166666666666668</v>
      </c>
      <c r="K105" s="118">
        <v>7.891</v>
      </c>
      <c r="L105" s="118">
        <f t="shared" si="32"/>
        <v>2.161917808219178E-2</v>
      </c>
      <c r="M105" s="119">
        <f t="shared" si="33"/>
        <v>0.6575833333333333</v>
      </c>
      <c r="N105" s="64">
        <f t="shared" si="34"/>
        <v>-6.3808219178082201E-3</v>
      </c>
      <c r="O105" s="62">
        <v>0</v>
      </c>
      <c r="P105" s="8">
        <f t="shared" si="35"/>
        <v>0</v>
      </c>
      <c r="Q105" s="8">
        <f t="shared" si="36"/>
        <v>0</v>
      </c>
      <c r="R105" s="8">
        <v>0</v>
      </c>
      <c r="S105" s="8">
        <f t="shared" si="37"/>
        <v>0</v>
      </c>
      <c r="T105" s="63">
        <f t="shared" si="38"/>
        <v>0</v>
      </c>
      <c r="U105" s="65">
        <f t="shared" si="39"/>
        <v>0</v>
      </c>
      <c r="V105" s="62">
        <v>10.220000000000001</v>
      </c>
      <c r="W105" s="8">
        <f t="shared" si="40"/>
        <v>2.8000000000000001E-2</v>
      </c>
      <c r="X105" s="8">
        <f t="shared" si="41"/>
        <v>0.85166666666666668</v>
      </c>
      <c r="Y105" s="8">
        <v>7.891</v>
      </c>
      <c r="Z105" s="8">
        <f t="shared" si="42"/>
        <v>2.161917808219178E-2</v>
      </c>
      <c r="AA105" s="63">
        <f t="shared" si="43"/>
        <v>0.6575833333333333</v>
      </c>
      <c r="AB105" s="65">
        <f t="shared" si="44"/>
        <v>-6.3808219178082201E-3</v>
      </c>
      <c r="AC105" s="62">
        <v>0</v>
      </c>
      <c r="AD105" s="8">
        <f t="shared" si="45"/>
        <v>0</v>
      </c>
      <c r="AE105" s="8">
        <f t="shared" si="46"/>
        <v>0</v>
      </c>
      <c r="AF105" s="8">
        <v>0</v>
      </c>
      <c r="AG105" s="8">
        <f t="shared" si="47"/>
        <v>0</v>
      </c>
      <c r="AH105" s="63">
        <f t="shared" si="48"/>
        <v>0</v>
      </c>
      <c r="AI105" s="64">
        <f t="shared" si="49"/>
        <v>0</v>
      </c>
      <c r="AJ105" s="62">
        <v>0</v>
      </c>
      <c r="AK105" s="8">
        <f t="shared" si="50"/>
        <v>0</v>
      </c>
      <c r="AL105" s="8">
        <f t="shared" si="51"/>
        <v>0</v>
      </c>
      <c r="AM105" s="8">
        <v>0</v>
      </c>
      <c r="AN105" s="8">
        <f t="shared" si="52"/>
        <v>0</v>
      </c>
      <c r="AO105" s="63">
        <f t="shared" si="53"/>
        <v>0</v>
      </c>
      <c r="AP105" s="64">
        <f t="shared" si="54"/>
        <v>0</v>
      </c>
      <c r="AQ105" s="120">
        <v>0</v>
      </c>
      <c r="AR105" s="121">
        <f t="shared" si="55"/>
        <v>0</v>
      </c>
      <c r="AS105" s="121">
        <f t="shared" si="56"/>
        <v>0</v>
      </c>
      <c r="AT105" s="121">
        <v>0</v>
      </c>
      <c r="AU105" s="121">
        <f t="shared" si="57"/>
        <v>0</v>
      </c>
      <c r="AV105" s="122">
        <f t="shared" si="58"/>
        <v>0</v>
      </c>
      <c r="AW105" s="64">
        <f t="shared" si="59"/>
        <v>0</v>
      </c>
      <c r="AX105" s="123">
        <v>20</v>
      </c>
      <c r="AY105" s="124">
        <v>10</v>
      </c>
      <c r="AZ105" s="60" t="s">
        <v>769</v>
      </c>
      <c r="BA105" s="6" t="s">
        <v>469</v>
      </c>
    </row>
    <row r="106" spans="1:53">
      <c r="A106" s="115" t="s">
        <v>464</v>
      </c>
      <c r="B106" s="7" t="s">
        <v>770</v>
      </c>
      <c r="C106" s="7" t="s">
        <v>771</v>
      </c>
      <c r="D106" s="7" t="s">
        <v>772</v>
      </c>
      <c r="E106" s="60" t="s">
        <v>15</v>
      </c>
      <c r="F106" s="70" t="s">
        <v>477</v>
      </c>
      <c r="G106" s="116">
        <v>42517</v>
      </c>
      <c r="H106" s="117">
        <v>28.88</v>
      </c>
      <c r="I106" s="118">
        <f t="shared" si="30"/>
        <v>7.9123287671232875E-2</v>
      </c>
      <c r="J106" s="118">
        <f t="shared" si="31"/>
        <v>2.4066666666666667</v>
      </c>
      <c r="K106" s="118">
        <v>27.27</v>
      </c>
      <c r="L106" s="118">
        <f t="shared" si="32"/>
        <v>7.471232876712329E-2</v>
      </c>
      <c r="M106" s="119">
        <f t="shared" si="33"/>
        <v>2.2725</v>
      </c>
      <c r="N106" s="64">
        <f t="shared" si="34"/>
        <v>-4.4109589041095854E-3</v>
      </c>
      <c r="O106" s="62">
        <v>0</v>
      </c>
      <c r="P106" s="8">
        <f t="shared" si="35"/>
        <v>0</v>
      </c>
      <c r="Q106" s="8">
        <f t="shared" si="36"/>
        <v>0</v>
      </c>
      <c r="R106" s="8">
        <v>0</v>
      </c>
      <c r="S106" s="8">
        <f t="shared" si="37"/>
        <v>0</v>
      </c>
      <c r="T106" s="63">
        <f t="shared" si="38"/>
        <v>0</v>
      </c>
      <c r="U106" s="65">
        <f t="shared" si="39"/>
        <v>0</v>
      </c>
      <c r="V106" s="62">
        <v>28.88</v>
      </c>
      <c r="W106" s="8">
        <f t="shared" si="40"/>
        <v>7.9123287671232875E-2</v>
      </c>
      <c r="X106" s="8">
        <f t="shared" si="41"/>
        <v>2.4066666666666667</v>
      </c>
      <c r="Y106" s="8">
        <v>27.27</v>
      </c>
      <c r="Z106" s="8">
        <f t="shared" si="42"/>
        <v>7.471232876712329E-2</v>
      </c>
      <c r="AA106" s="63">
        <f t="shared" si="43"/>
        <v>2.2725</v>
      </c>
      <c r="AB106" s="65">
        <f t="shared" si="44"/>
        <v>-4.4109589041095854E-3</v>
      </c>
      <c r="AC106" s="62">
        <v>0</v>
      </c>
      <c r="AD106" s="8">
        <f t="shared" si="45"/>
        <v>0</v>
      </c>
      <c r="AE106" s="8">
        <f t="shared" si="46"/>
        <v>0</v>
      </c>
      <c r="AF106" s="8">
        <v>0</v>
      </c>
      <c r="AG106" s="8">
        <f t="shared" si="47"/>
        <v>0</v>
      </c>
      <c r="AH106" s="63">
        <f t="shared" si="48"/>
        <v>0</v>
      </c>
      <c r="AI106" s="64">
        <f t="shared" si="49"/>
        <v>0</v>
      </c>
      <c r="AJ106" s="62">
        <v>0</v>
      </c>
      <c r="AK106" s="8">
        <f t="shared" si="50"/>
        <v>0</v>
      </c>
      <c r="AL106" s="8">
        <f t="shared" si="51"/>
        <v>0</v>
      </c>
      <c r="AM106" s="8">
        <v>0</v>
      </c>
      <c r="AN106" s="8">
        <f t="shared" si="52"/>
        <v>0</v>
      </c>
      <c r="AO106" s="63">
        <f t="shared" si="53"/>
        <v>0</v>
      </c>
      <c r="AP106" s="64">
        <f t="shared" si="54"/>
        <v>0</v>
      </c>
      <c r="AQ106" s="120">
        <v>0</v>
      </c>
      <c r="AR106" s="121">
        <f t="shared" si="55"/>
        <v>0</v>
      </c>
      <c r="AS106" s="121">
        <f t="shared" si="56"/>
        <v>0</v>
      </c>
      <c r="AT106" s="121">
        <v>0</v>
      </c>
      <c r="AU106" s="121">
        <f t="shared" si="57"/>
        <v>0</v>
      </c>
      <c r="AV106" s="122">
        <f t="shared" si="58"/>
        <v>0</v>
      </c>
      <c r="AW106" s="64">
        <f t="shared" si="59"/>
        <v>0</v>
      </c>
      <c r="AX106" s="123">
        <v>20</v>
      </c>
      <c r="AY106" s="124">
        <v>10</v>
      </c>
      <c r="AZ106" s="60" t="s">
        <v>769</v>
      </c>
      <c r="BA106" s="6" t="s">
        <v>469</v>
      </c>
    </row>
    <row r="107" spans="1:53">
      <c r="A107" s="115" t="s">
        <v>464</v>
      </c>
      <c r="B107" s="7" t="s">
        <v>773</v>
      </c>
      <c r="C107" s="7" t="s">
        <v>774</v>
      </c>
      <c r="D107" s="7" t="s">
        <v>775</v>
      </c>
      <c r="E107" s="60" t="s">
        <v>597</v>
      </c>
      <c r="F107" s="70" t="s">
        <v>548</v>
      </c>
      <c r="G107" s="116" t="s">
        <v>269</v>
      </c>
      <c r="H107" s="117">
        <v>52.56</v>
      </c>
      <c r="I107" s="118">
        <f t="shared" si="30"/>
        <v>0.14400000000000002</v>
      </c>
      <c r="J107" s="118">
        <f t="shared" si="31"/>
        <v>4.38</v>
      </c>
      <c r="K107" s="118"/>
      <c r="L107" s="118"/>
      <c r="M107" s="119"/>
      <c r="N107" s="64"/>
      <c r="O107" s="62">
        <v>52.56</v>
      </c>
      <c r="P107" s="8">
        <f t="shared" si="35"/>
        <v>0.14400000000000002</v>
      </c>
      <c r="Q107" s="8">
        <f t="shared" si="36"/>
        <v>4.38</v>
      </c>
      <c r="R107" s="8"/>
      <c r="S107" s="8"/>
      <c r="T107" s="63"/>
      <c r="U107" s="65"/>
      <c r="V107" s="62">
        <v>0</v>
      </c>
      <c r="W107" s="8">
        <f t="shared" si="40"/>
        <v>0</v>
      </c>
      <c r="X107" s="8">
        <f t="shared" si="41"/>
        <v>0</v>
      </c>
      <c r="Y107" s="8">
        <v>0</v>
      </c>
      <c r="Z107" s="8">
        <f t="shared" si="42"/>
        <v>0</v>
      </c>
      <c r="AA107" s="63">
        <f t="shared" si="43"/>
        <v>0</v>
      </c>
      <c r="AB107" s="65">
        <f t="shared" si="44"/>
        <v>0</v>
      </c>
      <c r="AC107" s="62">
        <v>0</v>
      </c>
      <c r="AD107" s="8">
        <f t="shared" si="45"/>
        <v>0</v>
      </c>
      <c r="AE107" s="8">
        <f t="shared" si="46"/>
        <v>0</v>
      </c>
      <c r="AF107" s="8">
        <v>0</v>
      </c>
      <c r="AG107" s="8">
        <f t="shared" si="47"/>
        <v>0</v>
      </c>
      <c r="AH107" s="63">
        <f t="shared" si="48"/>
        <v>0</v>
      </c>
      <c r="AI107" s="64">
        <f t="shared" si="49"/>
        <v>0</v>
      </c>
      <c r="AJ107" s="62">
        <v>0</v>
      </c>
      <c r="AK107" s="8">
        <f t="shared" si="50"/>
        <v>0</v>
      </c>
      <c r="AL107" s="8">
        <f t="shared" si="51"/>
        <v>0</v>
      </c>
      <c r="AM107" s="8">
        <v>0</v>
      </c>
      <c r="AN107" s="8">
        <f t="shared" si="52"/>
        <v>0</v>
      </c>
      <c r="AO107" s="63">
        <f t="shared" si="53"/>
        <v>0</v>
      </c>
      <c r="AP107" s="64">
        <f t="shared" si="54"/>
        <v>0</v>
      </c>
      <c r="AQ107" s="120">
        <v>0</v>
      </c>
      <c r="AR107" s="121">
        <f t="shared" si="55"/>
        <v>0</v>
      </c>
      <c r="AS107" s="121">
        <f t="shared" si="56"/>
        <v>0</v>
      </c>
      <c r="AT107" s="121">
        <v>0</v>
      </c>
      <c r="AU107" s="121">
        <f t="shared" si="57"/>
        <v>0</v>
      </c>
      <c r="AV107" s="122">
        <f t="shared" si="58"/>
        <v>0</v>
      </c>
      <c r="AW107" s="64">
        <f t="shared" si="59"/>
        <v>0</v>
      </c>
      <c r="AX107" s="123">
        <v>6</v>
      </c>
      <c r="AY107" s="124"/>
      <c r="AZ107" s="60"/>
      <c r="BA107" s="6" t="s">
        <v>269</v>
      </c>
    </row>
    <row r="108" spans="1:53">
      <c r="A108" s="115" t="s">
        <v>464</v>
      </c>
      <c r="B108" s="7" t="s">
        <v>776</v>
      </c>
      <c r="C108" s="7" t="s">
        <v>777</v>
      </c>
      <c r="D108" s="7" t="s">
        <v>778</v>
      </c>
      <c r="E108" s="60" t="s">
        <v>15</v>
      </c>
      <c r="F108" s="70" t="s">
        <v>477</v>
      </c>
      <c r="G108" s="116" t="s">
        <v>269</v>
      </c>
      <c r="H108" s="117">
        <v>117.74</v>
      </c>
      <c r="I108" s="118">
        <f t="shared" si="30"/>
        <v>0.32257534246575342</v>
      </c>
      <c r="J108" s="118">
        <f t="shared" si="31"/>
        <v>9.8116666666666656</v>
      </c>
      <c r="K108" s="118">
        <v>86.51</v>
      </c>
      <c r="L108" s="118">
        <f t="shared" ref="L108:L114" si="60">K108/365</f>
        <v>0.23701369863013699</v>
      </c>
      <c r="M108" s="119">
        <f t="shared" ref="M108:M116" si="61">K108/12</f>
        <v>7.2091666666666674</v>
      </c>
      <c r="N108" s="64">
        <f t="shared" ref="N108:N116" si="62">L108-I108</f>
        <v>-8.556164383561643E-2</v>
      </c>
      <c r="O108" s="62">
        <v>0</v>
      </c>
      <c r="P108" s="8">
        <f t="shared" si="35"/>
        <v>0</v>
      </c>
      <c r="Q108" s="8">
        <f t="shared" si="36"/>
        <v>0</v>
      </c>
      <c r="R108" s="8">
        <v>0</v>
      </c>
      <c r="S108" s="8">
        <f t="shared" ref="S108:S116" si="63">R108/365</f>
        <v>0</v>
      </c>
      <c r="T108" s="63">
        <f t="shared" ref="T108:T116" si="64">R108/12</f>
        <v>0</v>
      </c>
      <c r="U108" s="65">
        <f t="shared" ref="U108:U116" si="65">S108-P108</f>
        <v>0</v>
      </c>
      <c r="V108" s="62">
        <v>117.74</v>
      </c>
      <c r="W108" s="8">
        <f t="shared" si="40"/>
        <v>0.32257534246575342</v>
      </c>
      <c r="X108" s="8">
        <f t="shared" si="41"/>
        <v>9.8116666666666656</v>
      </c>
      <c r="Y108" s="8">
        <v>86.51</v>
      </c>
      <c r="Z108" s="8">
        <f t="shared" si="42"/>
        <v>0.23701369863013699</v>
      </c>
      <c r="AA108" s="63">
        <f t="shared" si="43"/>
        <v>7.2091666666666674</v>
      </c>
      <c r="AB108" s="65">
        <f t="shared" si="44"/>
        <v>-8.556164383561643E-2</v>
      </c>
      <c r="AC108" s="62">
        <v>0</v>
      </c>
      <c r="AD108" s="8">
        <f t="shared" si="45"/>
        <v>0</v>
      </c>
      <c r="AE108" s="8">
        <f t="shared" si="46"/>
        <v>0</v>
      </c>
      <c r="AF108" s="8">
        <v>0</v>
      </c>
      <c r="AG108" s="8">
        <f t="shared" si="47"/>
        <v>0</v>
      </c>
      <c r="AH108" s="63">
        <f t="shared" si="48"/>
        <v>0</v>
      </c>
      <c r="AI108" s="64">
        <f t="shared" si="49"/>
        <v>0</v>
      </c>
      <c r="AJ108" s="62">
        <v>0</v>
      </c>
      <c r="AK108" s="8">
        <f t="shared" si="50"/>
        <v>0</v>
      </c>
      <c r="AL108" s="8">
        <f t="shared" si="51"/>
        <v>0</v>
      </c>
      <c r="AM108" s="8">
        <v>0</v>
      </c>
      <c r="AN108" s="8">
        <f t="shared" si="52"/>
        <v>0</v>
      </c>
      <c r="AO108" s="63">
        <f t="shared" si="53"/>
        <v>0</v>
      </c>
      <c r="AP108" s="64">
        <f t="shared" si="54"/>
        <v>0</v>
      </c>
      <c r="AQ108" s="120">
        <v>0</v>
      </c>
      <c r="AR108" s="121">
        <f t="shared" si="55"/>
        <v>0</v>
      </c>
      <c r="AS108" s="121">
        <f t="shared" si="56"/>
        <v>0</v>
      </c>
      <c r="AT108" s="121">
        <v>0</v>
      </c>
      <c r="AU108" s="121">
        <f t="shared" si="57"/>
        <v>0</v>
      </c>
      <c r="AV108" s="122">
        <f t="shared" si="58"/>
        <v>0</v>
      </c>
      <c r="AW108" s="64">
        <f t="shared" si="59"/>
        <v>0</v>
      </c>
      <c r="AX108" s="123">
        <v>20</v>
      </c>
      <c r="AY108" s="124"/>
      <c r="AZ108" s="60" t="s">
        <v>769</v>
      </c>
      <c r="BA108" s="6" t="s">
        <v>779</v>
      </c>
    </row>
    <row r="109" spans="1:53" ht="105">
      <c r="A109" s="21" t="s">
        <v>464</v>
      </c>
      <c r="B109" s="21" t="s">
        <v>780</v>
      </c>
      <c r="C109" s="21"/>
      <c r="D109" s="70" t="s">
        <v>781</v>
      </c>
      <c r="E109" s="70" t="s">
        <v>15</v>
      </c>
      <c r="F109" s="70" t="s">
        <v>477</v>
      </c>
      <c r="G109" s="153" t="s">
        <v>782</v>
      </c>
      <c r="H109" s="154">
        <v>201.845</v>
      </c>
      <c r="I109" s="155">
        <f t="shared" si="30"/>
        <v>0.55300000000000005</v>
      </c>
      <c r="J109" s="155">
        <f t="shared" si="31"/>
        <v>16.820416666666667</v>
      </c>
      <c r="K109" s="155">
        <v>335.8</v>
      </c>
      <c r="L109" s="155">
        <f t="shared" si="60"/>
        <v>0.92</v>
      </c>
      <c r="M109" s="156">
        <f t="shared" si="61"/>
        <v>27.983333333333334</v>
      </c>
      <c r="N109" s="64">
        <f t="shared" si="62"/>
        <v>0.36699999999999999</v>
      </c>
      <c r="O109" s="62">
        <v>0</v>
      </c>
      <c r="P109" s="8">
        <f t="shared" si="35"/>
        <v>0</v>
      </c>
      <c r="Q109" s="8">
        <f t="shared" si="36"/>
        <v>0</v>
      </c>
      <c r="R109" s="8">
        <v>0</v>
      </c>
      <c r="S109" s="8">
        <f t="shared" si="63"/>
        <v>0</v>
      </c>
      <c r="T109" s="63">
        <f t="shared" si="64"/>
        <v>0</v>
      </c>
      <c r="U109" s="65">
        <f t="shared" si="65"/>
        <v>0</v>
      </c>
      <c r="V109" s="62">
        <v>201.845</v>
      </c>
      <c r="W109" s="8">
        <f t="shared" si="40"/>
        <v>0.55300000000000005</v>
      </c>
      <c r="X109" s="8">
        <f t="shared" si="41"/>
        <v>16.820416666666667</v>
      </c>
      <c r="Y109" s="8">
        <v>335.8</v>
      </c>
      <c r="Z109" s="8">
        <f t="shared" si="42"/>
        <v>0.92</v>
      </c>
      <c r="AA109" s="63">
        <f t="shared" si="43"/>
        <v>27.983333333333334</v>
      </c>
      <c r="AB109" s="65">
        <f t="shared" si="44"/>
        <v>0.36699999999999999</v>
      </c>
      <c r="AC109" s="62">
        <v>0</v>
      </c>
      <c r="AD109" s="8">
        <f t="shared" si="45"/>
        <v>0</v>
      </c>
      <c r="AE109" s="8">
        <f t="shared" si="46"/>
        <v>0</v>
      </c>
      <c r="AF109" s="8">
        <v>0</v>
      </c>
      <c r="AG109" s="8">
        <f t="shared" si="47"/>
        <v>0</v>
      </c>
      <c r="AH109" s="63">
        <f t="shared" si="48"/>
        <v>0</v>
      </c>
      <c r="AI109" s="64">
        <f t="shared" si="49"/>
        <v>0</v>
      </c>
      <c r="AJ109" s="62">
        <v>0</v>
      </c>
      <c r="AK109" s="8">
        <f t="shared" si="50"/>
        <v>0</v>
      </c>
      <c r="AL109" s="8">
        <f t="shared" si="51"/>
        <v>0</v>
      </c>
      <c r="AM109" s="8">
        <v>0</v>
      </c>
      <c r="AN109" s="8">
        <f t="shared" si="52"/>
        <v>0</v>
      </c>
      <c r="AO109" s="63">
        <f t="shared" si="53"/>
        <v>0</v>
      </c>
      <c r="AP109" s="64">
        <f t="shared" si="54"/>
        <v>0</v>
      </c>
      <c r="AQ109" s="143">
        <v>0</v>
      </c>
      <c r="AR109" s="150">
        <f t="shared" si="55"/>
        <v>0</v>
      </c>
      <c r="AS109" s="150">
        <f t="shared" si="56"/>
        <v>0</v>
      </c>
      <c r="AT109" s="150">
        <v>0</v>
      </c>
      <c r="AU109" s="150">
        <f t="shared" si="57"/>
        <v>0</v>
      </c>
      <c r="AV109" s="151">
        <f t="shared" si="58"/>
        <v>0</v>
      </c>
      <c r="AW109" s="64">
        <f t="shared" si="59"/>
        <v>0</v>
      </c>
      <c r="AX109" s="157">
        <v>20</v>
      </c>
      <c r="AY109" s="158" t="s">
        <v>782</v>
      </c>
      <c r="AZ109" s="70" t="s">
        <v>783</v>
      </c>
      <c r="BA109" s="6" t="s">
        <v>269</v>
      </c>
    </row>
    <row r="110" spans="1:53" ht="90">
      <c r="A110" s="115" t="s">
        <v>464</v>
      </c>
      <c r="B110" s="7" t="s">
        <v>784</v>
      </c>
      <c r="C110" s="7"/>
      <c r="D110" s="35" t="s">
        <v>785</v>
      </c>
      <c r="E110" s="60" t="s">
        <v>786</v>
      </c>
      <c r="F110" s="70" t="s">
        <v>477</v>
      </c>
      <c r="G110" s="159" t="s">
        <v>782</v>
      </c>
      <c r="H110" s="117">
        <f>1422.04+32.4</f>
        <v>1454.44</v>
      </c>
      <c r="I110" s="118">
        <f t="shared" si="30"/>
        <v>3.9847671232876714</v>
      </c>
      <c r="J110" s="118">
        <f t="shared" si="31"/>
        <v>121.20333333333333</v>
      </c>
      <c r="K110" s="118">
        <f>406.6+127.4+889.71+20.45</f>
        <v>1444.16</v>
      </c>
      <c r="L110" s="118">
        <f t="shared" si="60"/>
        <v>3.9566027397260277</v>
      </c>
      <c r="M110" s="119">
        <f t="shared" si="61"/>
        <v>120.34666666666668</v>
      </c>
      <c r="N110" s="64">
        <f t="shared" si="62"/>
        <v>-2.8164383561643636E-2</v>
      </c>
      <c r="O110" s="62">
        <v>0</v>
      </c>
      <c r="P110" s="8">
        <f t="shared" si="35"/>
        <v>0</v>
      </c>
      <c r="Q110" s="8">
        <f t="shared" si="36"/>
        <v>0</v>
      </c>
      <c r="R110" s="8">
        <v>0</v>
      </c>
      <c r="S110" s="8">
        <f t="shared" si="63"/>
        <v>0</v>
      </c>
      <c r="T110" s="63">
        <f t="shared" si="64"/>
        <v>0</v>
      </c>
      <c r="U110" s="65">
        <f t="shared" si="65"/>
        <v>0</v>
      </c>
      <c r="V110" s="62">
        <f>115.041+115.041+115.041+32.4+156.584</f>
        <v>534.10699999999997</v>
      </c>
      <c r="W110" s="8">
        <f t="shared" si="40"/>
        <v>1.4633068493150685</v>
      </c>
      <c r="X110" s="8">
        <f t="shared" si="41"/>
        <v>44.508916666666664</v>
      </c>
      <c r="Y110" s="8">
        <f>406.6+20.45</f>
        <v>427.05</v>
      </c>
      <c r="Z110" s="8">
        <f t="shared" si="42"/>
        <v>1.17</v>
      </c>
      <c r="AA110" s="63">
        <f t="shared" si="43"/>
        <v>35.587499999999999</v>
      </c>
      <c r="AB110" s="65">
        <f t="shared" si="44"/>
        <v>-0.29330684931506856</v>
      </c>
      <c r="AC110" s="62">
        <v>920.33299999999997</v>
      </c>
      <c r="AD110" s="8">
        <f t="shared" si="45"/>
        <v>2.5214602739726026</v>
      </c>
      <c r="AE110" s="8">
        <f t="shared" si="46"/>
        <v>76.694416666666669</v>
      </c>
      <c r="AF110" s="8">
        <f>127.4+889.71</f>
        <v>1017.11</v>
      </c>
      <c r="AG110" s="8">
        <f t="shared" si="47"/>
        <v>2.7866027397260273</v>
      </c>
      <c r="AH110" s="63">
        <f t="shared" si="48"/>
        <v>84.759166666666673</v>
      </c>
      <c r="AI110" s="64">
        <f t="shared" si="49"/>
        <v>0.26514246575342471</v>
      </c>
      <c r="AJ110" s="62">
        <v>0</v>
      </c>
      <c r="AK110" s="8">
        <f t="shared" si="50"/>
        <v>0</v>
      </c>
      <c r="AL110" s="8">
        <f t="shared" si="51"/>
        <v>0</v>
      </c>
      <c r="AM110" s="8">
        <v>0</v>
      </c>
      <c r="AN110" s="8">
        <f t="shared" si="52"/>
        <v>0</v>
      </c>
      <c r="AO110" s="63">
        <f t="shared" si="53"/>
        <v>0</v>
      </c>
      <c r="AP110" s="64">
        <f t="shared" si="54"/>
        <v>0</v>
      </c>
      <c r="AQ110" s="120">
        <f>3.42+0.7+4.59+0.42+5.87</f>
        <v>15</v>
      </c>
      <c r="AR110" s="121">
        <f t="shared" si="55"/>
        <v>4.1095890410958902E-2</v>
      </c>
      <c r="AS110" s="121">
        <f t="shared" si="56"/>
        <v>1.25</v>
      </c>
      <c r="AT110" s="121">
        <f>4.433+4.989+3.586+0.103+0.441</f>
        <v>13.552000000000001</v>
      </c>
      <c r="AU110" s="121">
        <f t="shared" si="57"/>
        <v>3.7128767123287672E-2</v>
      </c>
      <c r="AV110" s="122">
        <f t="shared" si="58"/>
        <v>1.1293333333333335</v>
      </c>
      <c r="AW110" s="64">
        <f t="shared" si="59"/>
        <v>-3.9671232876712301E-3</v>
      </c>
      <c r="AX110" s="123">
        <v>20</v>
      </c>
      <c r="AY110" s="124" t="s">
        <v>782</v>
      </c>
      <c r="AZ110" s="60" t="s">
        <v>787</v>
      </c>
      <c r="BA110" s="6" t="s">
        <v>269</v>
      </c>
    </row>
    <row r="111" spans="1:53" ht="45">
      <c r="A111" s="115" t="s">
        <v>464</v>
      </c>
      <c r="B111" s="115" t="s">
        <v>788</v>
      </c>
      <c r="C111" s="115"/>
      <c r="D111" s="60" t="s">
        <v>733</v>
      </c>
      <c r="E111" s="60" t="s">
        <v>155</v>
      </c>
      <c r="F111" s="70" t="s">
        <v>467</v>
      </c>
      <c r="G111" s="159" t="s">
        <v>782</v>
      </c>
      <c r="H111" s="117">
        <v>0</v>
      </c>
      <c r="I111" s="118">
        <f t="shared" si="30"/>
        <v>0</v>
      </c>
      <c r="J111" s="118">
        <f t="shared" si="31"/>
        <v>0</v>
      </c>
      <c r="K111" s="118">
        <v>0</v>
      </c>
      <c r="L111" s="118">
        <f t="shared" si="60"/>
        <v>0</v>
      </c>
      <c r="M111" s="119">
        <f t="shared" si="61"/>
        <v>0</v>
      </c>
      <c r="N111" s="64">
        <f t="shared" si="62"/>
        <v>0</v>
      </c>
      <c r="O111" s="62">
        <v>0</v>
      </c>
      <c r="P111" s="8">
        <f t="shared" si="35"/>
        <v>0</v>
      </c>
      <c r="Q111" s="8">
        <f t="shared" si="36"/>
        <v>0</v>
      </c>
      <c r="R111" s="8">
        <v>0</v>
      </c>
      <c r="S111" s="8">
        <f t="shared" si="63"/>
        <v>0</v>
      </c>
      <c r="T111" s="63">
        <f t="shared" si="64"/>
        <v>0</v>
      </c>
      <c r="U111" s="65">
        <f t="shared" si="65"/>
        <v>0</v>
      </c>
      <c r="V111" s="62">
        <v>0</v>
      </c>
      <c r="W111" s="8">
        <f t="shared" si="40"/>
        <v>0</v>
      </c>
      <c r="X111" s="8">
        <f t="shared" si="41"/>
        <v>0</v>
      </c>
      <c r="Y111" s="8">
        <v>0</v>
      </c>
      <c r="Z111" s="8">
        <f t="shared" si="42"/>
        <v>0</v>
      </c>
      <c r="AA111" s="63">
        <f t="shared" si="43"/>
        <v>0</v>
      </c>
      <c r="AB111" s="65">
        <f t="shared" si="44"/>
        <v>0</v>
      </c>
      <c r="AC111" s="62">
        <v>0</v>
      </c>
      <c r="AD111" s="8">
        <f t="shared" si="45"/>
        <v>0</v>
      </c>
      <c r="AE111" s="8">
        <f t="shared" si="46"/>
        <v>0</v>
      </c>
      <c r="AF111" s="8">
        <v>0</v>
      </c>
      <c r="AG111" s="8">
        <f t="shared" si="47"/>
        <v>0</v>
      </c>
      <c r="AH111" s="63">
        <f t="shared" si="48"/>
        <v>0</v>
      </c>
      <c r="AI111" s="64">
        <f t="shared" si="49"/>
        <v>0</v>
      </c>
      <c r="AJ111" s="62">
        <v>0</v>
      </c>
      <c r="AK111" s="8">
        <f t="shared" si="50"/>
        <v>0</v>
      </c>
      <c r="AL111" s="8">
        <f t="shared" si="51"/>
        <v>0</v>
      </c>
      <c r="AM111" s="8">
        <v>0</v>
      </c>
      <c r="AN111" s="8">
        <f t="shared" si="52"/>
        <v>0</v>
      </c>
      <c r="AO111" s="63">
        <f t="shared" si="53"/>
        <v>0</v>
      </c>
      <c r="AP111" s="64">
        <f t="shared" si="54"/>
        <v>0</v>
      </c>
      <c r="AQ111" s="120">
        <v>336</v>
      </c>
      <c r="AR111" s="121">
        <f t="shared" si="55"/>
        <v>0.92054794520547945</v>
      </c>
      <c r="AS111" s="121">
        <f t="shared" si="56"/>
        <v>28</v>
      </c>
      <c r="AT111" s="121">
        <v>3950.4</v>
      </c>
      <c r="AU111" s="121">
        <f t="shared" si="57"/>
        <v>10.823013698630136</v>
      </c>
      <c r="AV111" s="122">
        <f t="shared" si="58"/>
        <v>329.2</v>
      </c>
      <c r="AW111" s="64">
        <f t="shared" si="59"/>
        <v>9.9024657534246572</v>
      </c>
      <c r="AX111" s="123">
        <v>20</v>
      </c>
      <c r="AY111" s="124" t="s">
        <v>782</v>
      </c>
      <c r="AZ111" s="60" t="s">
        <v>789</v>
      </c>
      <c r="BA111" s="6" t="s">
        <v>269</v>
      </c>
    </row>
    <row r="112" spans="1:53" ht="45">
      <c r="A112" s="115" t="s">
        <v>464</v>
      </c>
      <c r="B112" s="115" t="s">
        <v>790</v>
      </c>
      <c r="C112" s="115"/>
      <c r="D112" s="60" t="s">
        <v>736</v>
      </c>
      <c r="E112" s="60" t="s">
        <v>155</v>
      </c>
      <c r="F112" s="70" t="s">
        <v>467</v>
      </c>
      <c r="G112" s="159" t="s">
        <v>782</v>
      </c>
      <c r="H112" s="117">
        <v>0</v>
      </c>
      <c r="I112" s="118">
        <f t="shared" si="30"/>
        <v>0</v>
      </c>
      <c r="J112" s="118">
        <f t="shared" si="31"/>
        <v>0</v>
      </c>
      <c r="K112" s="118">
        <v>0</v>
      </c>
      <c r="L112" s="118">
        <f t="shared" si="60"/>
        <v>0</v>
      </c>
      <c r="M112" s="119">
        <f t="shared" si="61"/>
        <v>0</v>
      </c>
      <c r="N112" s="64">
        <f t="shared" si="62"/>
        <v>0</v>
      </c>
      <c r="O112" s="62">
        <v>0</v>
      </c>
      <c r="P112" s="8">
        <f t="shared" si="35"/>
        <v>0</v>
      </c>
      <c r="Q112" s="8">
        <f t="shared" si="36"/>
        <v>0</v>
      </c>
      <c r="R112" s="8">
        <v>0</v>
      </c>
      <c r="S112" s="8">
        <f t="shared" si="63"/>
        <v>0</v>
      </c>
      <c r="T112" s="63">
        <f t="shared" si="64"/>
        <v>0</v>
      </c>
      <c r="U112" s="65">
        <f t="shared" si="65"/>
        <v>0</v>
      </c>
      <c r="V112" s="62">
        <v>0</v>
      </c>
      <c r="W112" s="8">
        <f t="shared" si="40"/>
        <v>0</v>
      </c>
      <c r="X112" s="8">
        <f t="shared" si="41"/>
        <v>0</v>
      </c>
      <c r="Y112" s="8">
        <v>0</v>
      </c>
      <c r="Z112" s="8">
        <f t="shared" si="42"/>
        <v>0</v>
      </c>
      <c r="AA112" s="63">
        <f t="shared" si="43"/>
        <v>0</v>
      </c>
      <c r="AB112" s="65">
        <f t="shared" si="44"/>
        <v>0</v>
      </c>
      <c r="AC112" s="62">
        <v>0</v>
      </c>
      <c r="AD112" s="8">
        <f t="shared" si="45"/>
        <v>0</v>
      </c>
      <c r="AE112" s="8">
        <f t="shared" si="46"/>
        <v>0</v>
      </c>
      <c r="AF112" s="8">
        <v>0</v>
      </c>
      <c r="AG112" s="8">
        <f t="shared" si="47"/>
        <v>0</v>
      </c>
      <c r="AH112" s="63">
        <f t="shared" si="48"/>
        <v>0</v>
      </c>
      <c r="AI112" s="64">
        <f t="shared" si="49"/>
        <v>0</v>
      </c>
      <c r="AJ112" s="62">
        <v>0</v>
      </c>
      <c r="AK112" s="8">
        <f t="shared" si="50"/>
        <v>0</v>
      </c>
      <c r="AL112" s="8">
        <f t="shared" si="51"/>
        <v>0</v>
      </c>
      <c r="AM112" s="8">
        <v>0</v>
      </c>
      <c r="AN112" s="8">
        <f t="shared" si="52"/>
        <v>0</v>
      </c>
      <c r="AO112" s="63">
        <f t="shared" si="53"/>
        <v>0</v>
      </c>
      <c r="AP112" s="64">
        <f t="shared" si="54"/>
        <v>0</v>
      </c>
      <c r="AQ112" s="120">
        <v>1049.9000000000001</v>
      </c>
      <c r="AR112" s="121">
        <f t="shared" si="55"/>
        <v>2.8764383561643836</v>
      </c>
      <c r="AS112" s="121">
        <f t="shared" si="56"/>
        <v>87.491666666666674</v>
      </c>
      <c r="AT112" s="121">
        <v>1049.9000000000001</v>
      </c>
      <c r="AU112" s="121">
        <f t="shared" si="57"/>
        <v>2.8764383561643836</v>
      </c>
      <c r="AV112" s="122">
        <f t="shared" si="58"/>
        <v>87.491666666666674</v>
      </c>
      <c r="AW112" s="64">
        <f t="shared" si="59"/>
        <v>0</v>
      </c>
      <c r="AX112" s="123">
        <v>20</v>
      </c>
      <c r="AY112" s="124" t="s">
        <v>782</v>
      </c>
      <c r="AZ112" s="60" t="s">
        <v>789</v>
      </c>
      <c r="BA112" s="6" t="s">
        <v>269</v>
      </c>
    </row>
    <row r="113" spans="1:53" ht="105">
      <c r="A113" s="7" t="s">
        <v>464</v>
      </c>
      <c r="B113" s="7" t="s">
        <v>791</v>
      </c>
      <c r="C113" s="7"/>
      <c r="D113" s="6" t="s">
        <v>792</v>
      </c>
      <c r="E113" s="6" t="s">
        <v>15</v>
      </c>
      <c r="F113" s="6" t="s">
        <v>477</v>
      </c>
      <c r="G113" s="160" t="s">
        <v>782</v>
      </c>
      <c r="H113" s="62">
        <v>139.43</v>
      </c>
      <c r="I113" s="8">
        <f t="shared" si="30"/>
        <v>0.38200000000000001</v>
      </c>
      <c r="J113" s="8">
        <f t="shared" si="31"/>
        <v>11.619166666666667</v>
      </c>
      <c r="K113" s="8">
        <v>139.43</v>
      </c>
      <c r="L113" s="8">
        <f t="shared" si="60"/>
        <v>0.38200000000000001</v>
      </c>
      <c r="M113" s="63">
        <f t="shared" si="61"/>
        <v>11.619166666666667</v>
      </c>
      <c r="N113" s="64">
        <f t="shared" si="62"/>
        <v>0</v>
      </c>
      <c r="O113" s="62">
        <v>0</v>
      </c>
      <c r="P113" s="8">
        <f t="shared" si="35"/>
        <v>0</v>
      </c>
      <c r="Q113" s="8">
        <f t="shared" si="36"/>
        <v>0</v>
      </c>
      <c r="R113" s="8">
        <v>0</v>
      </c>
      <c r="S113" s="8">
        <f t="shared" si="63"/>
        <v>0</v>
      </c>
      <c r="T113" s="63">
        <f t="shared" si="64"/>
        <v>0</v>
      </c>
      <c r="U113" s="65">
        <f t="shared" si="65"/>
        <v>0</v>
      </c>
      <c r="V113" s="62">
        <v>139.43</v>
      </c>
      <c r="W113" s="8">
        <f t="shared" si="40"/>
        <v>0.38200000000000001</v>
      </c>
      <c r="X113" s="8">
        <f t="shared" si="41"/>
        <v>11.619166666666667</v>
      </c>
      <c r="Y113" s="8">
        <v>139.43</v>
      </c>
      <c r="Z113" s="8">
        <f t="shared" si="42"/>
        <v>0.38200000000000001</v>
      </c>
      <c r="AA113" s="63">
        <f t="shared" si="43"/>
        <v>11.619166666666667</v>
      </c>
      <c r="AB113" s="65">
        <f t="shared" si="44"/>
        <v>0</v>
      </c>
      <c r="AC113" s="62">
        <v>0</v>
      </c>
      <c r="AD113" s="8">
        <f t="shared" si="45"/>
        <v>0</v>
      </c>
      <c r="AE113" s="8">
        <f t="shared" si="46"/>
        <v>0</v>
      </c>
      <c r="AF113" s="8">
        <v>0</v>
      </c>
      <c r="AG113" s="8">
        <f t="shared" si="47"/>
        <v>0</v>
      </c>
      <c r="AH113" s="63">
        <f t="shared" si="48"/>
        <v>0</v>
      </c>
      <c r="AI113" s="64">
        <f t="shared" si="49"/>
        <v>0</v>
      </c>
      <c r="AJ113" s="62">
        <v>0</v>
      </c>
      <c r="AK113" s="8">
        <f t="shared" si="50"/>
        <v>0</v>
      </c>
      <c r="AL113" s="8">
        <f t="shared" si="51"/>
        <v>0</v>
      </c>
      <c r="AM113" s="8">
        <v>0</v>
      </c>
      <c r="AN113" s="8">
        <f t="shared" si="52"/>
        <v>0</v>
      </c>
      <c r="AO113" s="63">
        <f t="shared" si="53"/>
        <v>0</v>
      </c>
      <c r="AP113" s="64">
        <f t="shared" si="54"/>
        <v>0</v>
      </c>
      <c r="AQ113" s="66">
        <v>0</v>
      </c>
      <c r="AR113" s="37">
        <f t="shared" si="55"/>
        <v>0</v>
      </c>
      <c r="AS113" s="37">
        <f t="shared" si="56"/>
        <v>0</v>
      </c>
      <c r="AT113" s="37">
        <v>0</v>
      </c>
      <c r="AU113" s="37">
        <f t="shared" si="57"/>
        <v>0</v>
      </c>
      <c r="AV113" s="67">
        <f t="shared" si="58"/>
        <v>0</v>
      </c>
      <c r="AW113" s="64">
        <f t="shared" si="59"/>
        <v>0</v>
      </c>
      <c r="AX113" s="68">
        <v>20</v>
      </c>
      <c r="AY113" s="69" t="s">
        <v>782</v>
      </c>
      <c r="AZ113" s="6" t="s">
        <v>793</v>
      </c>
      <c r="BA113" s="6" t="s">
        <v>269</v>
      </c>
    </row>
    <row r="114" spans="1:53" ht="75">
      <c r="A114" s="7" t="s">
        <v>464</v>
      </c>
      <c r="B114" s="7" t="s">
        <v>794</v>
      </c>
      <c r="C114" s="7"/>
      <c r="D114" s="77" t="s">
        <v>795</v>
      </c>
      <c r="E114" s="6" t="s">
        <v>15</v>
      </c>
      <c r="F114" s="6" t="s">
        <v>477</v>
      </c>
      <c r="G114" s="161" t="s">
        <v>782</v>
      </c>
      <c r="H114" s="62">
        <v>572.69000000000005</v>
      </c>
      <c r="I114" s="8">
        <f t="shared" si="30"/>
        <v>1.5690136986301371</v>
      </c>
      <c r="J114" s="8">
        <f t="shared" si="31"/>
        <v>47.724166666666669</v>
      </c>
      <c r="K114" s="8">
        <v>572.69000000000005</v>
      </c>
      <c r="L114" s="8">
        <f t="shared" si="60"/>
        <v>1.5690136986301371</v>
      </c>
      <c r="M114" s="63">
        <f t="shared" si="61"/>
        <v>47.724166666666669</v>
      </c>
      <c r="N114" s="64">
        <f t="shared" si="62"/>
        <v>0</v>
      </c>
      <c r="O114" s="62">
        <v>0</v>
      </c>
      <c r="P114" s="8">
        <f t="shared" si="35"/>
        <v>0</v>
      </c>
      <c r="Q114" s="8">
        <f t="shared" si="36"/>
        <v>0</v>
      </c>
      <c r="R114" s="8">
        <v>0</v>
      </c>
      <c r="S114" s="8">
        <f t="shared" si="63"/>
        <v>0</v>
      </c>
      <c r="T114" s="63">
        <f t="shared" si="64"/>
        <v>0</v>
      </c>
      <c r="U114" s="65">
        <f t="shared" si="65"/>
        <v>0</v>
      </c>
      <c r="V114" s="62">
        <v>572.69000000000005</v>
      </c>
      <c r="W114" s="8">
        <f t="shared" si="40"/>
        <v>1.5690136986301371</v>
      </c>
      <c r="X114" s="8">
        <f t="shared" si="41"/>
        <v>47.724166666666669</v>
      </c>
      <c r="Y114" s="8">
        <v>572.69000000000005</v>
      </c>
      <c r="Z114" s="8">
        <f t="shared" si="42"/>
        <v>1.5690136986301371</v>
      </c>
      <c r="AA114" s="63">
        <f t="shared" si="43"/>
        <v>47.724166666666669</v>
      </c>
      <c r="AB114" s="65">
        <f t="shared" si="44"/>
        <v>0</v>
      </c>
      <c r="AC114" s="62">
        <v>0</v>
      </c>
      <c r="AD114" s="8">
        <f t="shared" si="45"/>
        <v>0</v>
      </c>
      <c r="AE114" s="8">
        <f t="shared" si="46"/>
        <v>0</v>
      </c>
      <c r="AF114" s="8">
        <v>0</v>
      </c>
      <c r="AG114" s="8">
        <f t="shared" si="47"/>
        <v>0</v>
      </c>
      <c r="AH114" s="63">
        <f t="shared" si="48"/>
        <v>0</v>
      </c>
      <c r="AI114" s="64">
        <f t="shared" si="49"/>
        <v>0</v>
      </c>
      <c r="AJ114" s="62">
        <v>0</v>
      </c>
      <c r="AK114" s="8">
        <f t="shared" si="50"/>
        <v>0</v>
      </c>
      <c r="AL114" s="8">
        <f t="shared" si="51"/>
        <v>0</v>
      </c>
      <c r="AM114" s="8">
        <v>0</v>
      </c>
      <c r="AN114" s="8">
        <f t="shared" si="52"/>
        <v>0</v>
      </c>
      <c r="AO114" s="63">
        <f t="shared" si="53"/>
        <v>0</v>
      </c>
      <c r="AP114" s="64">
        <f t="shared" si="54"/>
        <v>0</v>
      </c>
      <c r="AQ114" s="66">
        <v>0</v>
      </c>
      <c r="AR114" s="37">
        <f t="shared" si="55"/>
        <v>0</v>
      </c>
      <c r="AS114" s="37">
        <f t="shared" si="56"/>
        <v>0</v>
      </c>
      <c r="AT114" s="37">
        <v>0</v>
      </c>
      <c r="AU114" s="37">
        <f t="shared" si="57"/>
        <v>0</v>
      </c>
      <c r="AV114" s="67">
        <f t="shared" si="58"/>
        <v>0</v>
      </c>
      <c r="AW114" s="64">
        <f t="shared" si="59"/>
        <v>0</v>
      </c>
      <c r="AX114" s="68">
        <v>20</v>
      </c>
      <c r="AY114" s="69" t="s">
        <v>782</v>
      </c>
      <c r="AZ114" s="6" t="s">
        <v>796</v>
      </c>
      <c r="BA114" s="6" t="s">
        <v>269</v>
      </c>
    </row>
    <row r="115" spans="1:53" ht="30">
      <c r="A115" s="7" t="s">
        <v>464</v>
      </c>
      <c r="B115" s="7" t="s">
        <v>797</v>
      </c>
      <c r="C115" s="7"/>
      <c r="D115" s="7" t="s">
        <v>798</v>
      </c>
      <c r="E115" s="6" t="s">
        <v>155</v>
      </c>
      <c r="F115" s="6" t="s">
        <v>477</v>
      </c>
      <c r="G115" s="160" t="s">
        <v>782</v>
      </c>
      <c r="H115" s="62">
        <v>0</v>
      </c>
      <c r="I115" s="8">
        <v>0</v>
      </c>
      <c r="J115" s="8">
        <f t="shared" si="31"/>
        <v>0</v>
      </c>
      <c r="K115" s="8">
        <v>0</v>
      </c>
      <c r="L115" s="8">
        <v>0</v>
      </c>
      <c r="M115" s="63">
        <f t="shared" si="61"/>
        <v>0</v>
      </c>
      <c r="N115" s="64">
        <f t="shared" si="62"/>
        <v>0</v>
      </c>
      <c r="O115" s="62">
        <v>0</v>
      </c>
      <c r="P115" s="8">
        <f t="shared" si="35"/>
        <v>0</v>
      </c>
      <c r="Q115" s="8">
        <f t="shared" si="36"/>
        <v>0</v>
      </c>
      <c r="R115" s="8">
        <v>0</v>
      </c>
      <c r="S115" s="8">
        <f t="shared" si="63"/>
        <v>0</v>
      </c>
      <c r="T115" s="63">
        <f t="shared" si="64"/>
        <v>0</v>
      </c>
      <c r="U115" s="65">
        <f t="shared" si="65"/>
        <v>0</v>
      </c>
      <c r="V115" s="62">
        <v>0</v>
      </c>
      <c r="W115" s="8">
        <f t="shared" si="40"/>
        <v>0</v>
      </c>
      <c r="X115" s="8">
        <f t="shared" si="41"/>
        <v>0</v>
      </c>
      <c r="Y115" s="8">
        <v>0</v>
      </c>
      <c r="Z115" s="8">
        <f t="shared" si="42"/>
        <v>0</v>
      </c>
      <c r="AA115" s="63">
        <f t="shared" si="43"/>
        <v>0</v>
      </c>
      <c r="AB115" s="65">
        <f t="shared" si="44"/>
        <v>0</v>
      </c>
      <c r="AC115" s="62">
        <v>0</v>
      </c>
      <c r="AD115" s="8">
        <f t="shared" si="45"/>
        <v>0</v>
      </c>
      <c r="AE115" s="8">
        <f t="shared" si="46"/>
        <v>0</v>
      </c>
      <c r="AF115" s="8">
        <v>0</v>
      </c>
      <c r="AG115" s="8">
        <f t="shared" si="47"/>
        <v>0</v>
      </c>
      <c r="AH115" s="63">
        <f t="shared" si="48"/>
        <v>0</v>
      </c>
      <c r="AI115" s="64">
        <f t="shared" si="49"/>
        <v>0</v>
      </c>
      <c r="AJ115" s="62">
        <v>0</v>
      </c>
      <c r="AK115" s="8">
        <f t="shared" si="50"/>
        <v>0</v>
      </c>
      <c r="AL115" s="8">
        <f t="shared" si="51"/>
        <v>0</v>
      </c>
      <c r="AM115" s="8">
        <v>0</v>
      </c>
      <c r="AN115" s="8">
        <f t="shared" si="52"/>
        <v>0</v>
      </c>
      <c r="AO115" s="63">
        <f t="shared" si="53"/>
        <v>0</v>
      </c>
      <c r="AP115" s="64">
        <f t="shared" si="54"/>
        <v>0</v>
      </c>
      <c r="AQ115" s="66">
        <v>0</v>
      </c>
      <c r="AR115" s="37">
        <f t="shared" si="55"/>
        <v>0</v>
      </c>
      <c r="AS115" s="37">
        <f t="shared" si="56"/>
        <v>0</v>
      </c>
      <c r="AT115" s="37">
        <v>16899.5</v>
      </c>
      <c r="AU115" s="37">
        <f t="shared" si="57"/>
        <v>46.3</v>
      </c>
      <c r="AV115" s="67">
        <f t="shared" si="58"/>
        <v>1408.2916666666667</v>
      </c>
      <c r="AW115" s="64">
        <f t="shared" si="59"/>
        <v>46.3</v>
      </c>
      <c r="AX115" s="68">
        <v>30</v>
      </c>
      <c r="AY115" s="69" t="s">
        <v>782</v>
      </c>
      <c r="AZ115" s="6" t="s">
        <v>799</v>
      </c>
      <c r="BA115" s="6" t="s">
        <v>269</v>
      </c>
    </row>
    <row r="116" spans="1:53" ht="60">
      <c r="A116" s="115" t="s">
        <v>464</v>
      </c>
      <c r="B116" s="115" t="s">
        <v>800</v>
      </c>
      <c r="C116" s="115"/>
      <c r="D116" s="60" t="s">
        <v>801</v>
      </c>
      <c r="E116" s="60" t="s">
        <v>155</v>
      </c>
      <c r="F116" s="70" t="s">
        <v>477</v>
      </c>
      <c r="G116" s="159" t="s">
        <v>782</v>
      </c>
      <c r="H116" s="117">
        <v>0</v>
      </c>
      <c r="I116" s="118">
        <v>0</v>
      </c>
      <c r="J116" s="118">
        <f t="shared" si="31"/>
        <v>0</v>
      </c>
      <c r="K116" s="118">
        <v>0</v>
      </c>
      <c r="L116" s="118">
        <v>0</v>
      </c>
      <c r="M116" s="119">
        <f t="shared" si="61"/>
        <v>0</v>
      </c>
      <c r="N116" s="64">
        <f t="shared" si="62"/>
        <v>0</v>
      </c>
      <c r="O116" s="62">
        <v>0</v>
      </c>
      <c r="P116" s="8">
        <f t="shared" si="35"/>
        <v>0</v>
      </c>
      <c r="Q116" s="8">
        <f t="shared" si="36"/>
        <v>0</v>
      </c>
      <c r="R116" s="8">
        <v>0</v>
      </c>
      <c r="S116" s="8">
        <f t="shared" si="63"/>
        <v>0</v>
      </c>
      <c r="T116" s="63">
        <f t="shared" si="64"/>
        <v>0</v>
      </c>
      <c r="U116" s="65">
        <f t="shared" si="65"/>
        <v>0</v>
      </c>
      <c r="V116" s="62">
        <v>0</v>
      </c>
      <c r="W116" s="8">
        <f t="shared" si="40"/>
        <v>0</v>
      </c>
      <c r="X116" s="8">
        <f t="shared" si="41"/>
        <v>0</v>
      </c>
      <c r="Y116" s="8">
        <v>0</v>
      </c>
      <c r="Z116" s="8">
        <f t="shared" si="42"/>
        <v>0</v>
      </c>
      <c r="AA116" s="63">
        <f t="shared" si="43"/>
        <v>0</v>
      </c>
      <c r="AB116" s="65">
        <f t="shared" si="44"/>
        <v>0</v>
      </c>
      <c r="AC116" s="62">
        <v>0</v>
      </c>
      <c r="AD116" s="8">
        <f t="shared" si="45"/>
        <v>0</v>
      </c>
      <c r="AE116" s="8">
        <f t="shared" si="46"/>
        <v>0</v>
      </c>
      <c r="AF116" s="8">
        <v>0</v>
      </c>
      <c r="AG116" s="8">
        <f t="shared" si="47"/>
        <v>0</v>
      </c>
      <c r="AH116" s="63">
        <f t="shared" si="48"/>
        <v>0</v>
      </c>
      <c r="AI116" s="64">
        <f t="shared" si="49"/>
        <v>0</v>
      </c>
      <c r="AJ116" s="62">
        <v>0</v>
      </c>
      <c r="AK116" s="8">
        <f t="shared" si="50"/>
        <v>0</v>
      </c>
      <c r="AL116" s="8">
        <f t="shared" si="51"/>
        <v>0</v>
      </c>
      <c r="AM116" s="8">
        <v>0</v>
      </c>
      <c r="AN116" s="8">
        <f t="shared" si="52"/>
        <v>0</v>
      </c>
      <c r="AO116" s="63">
        <f t="shared" si="53"/>
        <v>0</v>
      </c>
      <c r="AP116" s="64">
        <f t="shared" si="54"/>
        <v>0</v>
      </c>
      <c r="AQ116" s="120">
        <v>0</v>
      </c>
      <c r="AR116" s="121">
        <f t="shared" si="55"/>
        <v>0</v>
      </c>
      <c r="AS116" s="121">
        <f t="shared" si="56"/>
        <v>0</v>
      </c>
      <c r="AT116" s="121">
        <f>12.17*365</f>
        <v>4442.05</v>
      </c>
      <c r="AU116" s="121">
        <f t="shared" si="57"/>
        <v>12.17</v>
      </c>
      <c r="AV116" s="122">
        <f t="shared" si="58"/>
        <v>370.17083333333335</v>
      </c>
      <c r="AW116" s="64">
        <f t="shared" si="59"/>
        <v>12.17</v>
      </c>
      <c r="AX116" s="123">
        <v>50</v>
      </c>
      <c r="AY116" s="124" t="s">
        <v>782</v>
      </c>
      <c r="AZ116" s="60" t="s">
        <v>802</v>
      </c>
      <c r="BA116" s="6" t="s">
        <v>269</v>
      </c>
    </row>
    <row r="120" spans="1:53" ht="15.75" thickBot="1"/>
    <row r="121" spans="1:53" ht="15.75" thickBot="1">
      <c r="A121" s="166" t="s">
        <v>17</v>
      </c>
      <c r="B121" s="167"/>
      <c r="C121" s="167"/>
      <c r="D121" s="168"/>
      <c r="E121" s="168"/>
      <c r="F121" s="168"/>
      <c r="G121" s="169"/>
      <c r="H121" s="170"/>
      <c r="I121" s="171"/>
      <c r="J121" s="171"/>
      <c r="K121" s="171"/>
      <c r="L121" s="171"/>
      <c r="M121" s="172"/>
      <c r="N121" s="173">
        <f>SUBTOTAL(9,N2:N120)</f>
        <v>-1.5975780821917833</v>
      </c>
      <c r="O121" s="170"/>
      <c r="P121" s="171"/>
      <c r="Q121" s="171"/>
      <c r="R121" s="171"/>
      <c r="S121" s="171"/>
      <c r="T121" s="172"/>
      <c r="U121" s="174">
        <f>SUBTOTAL(9,U2:U120)</f>
        <v>-8.3342465753424681E-3</v>
      </c>
      <c r="V121" s="175"/>
      <c r="W121" s="175"/>
      <c r="X121" s="175"/>
      <c r="Y121" s="175"/>
      <c r="Z121" s="175"/>
      <c r="AA121" s="176"/>
      <c r="AB121" s="174">
        <f>SUBTOTAL(9,AB2:AB120)</f>
        <v>-5.5397917808219264</v>
      </c>
      <c r="AC121" s="175"/>
      <c r="AD121" s="175"/>
      <c r="AE121" s="175"/>
      <c r="AF121" s="175"/>
      <c r="AG121" s="175"/>
      <c r="AH121" s="176"/>
      <c r="AI121" s="173">
        <f>SUBTOTAL(9,AI2:AI120)</f>
        <v>3.9506054794520558</v>
      </c>
      <c r="AJ121" s="175"/>
      <c r="AK121" s="175"/>
      <c r="AL121" s="175"/>
      <c r="AM121" s="175"/>
      <c r="AN121" s="175"/>
      <c r="AO121" s="176"/>
      <c r="AP121" s="173">
        <f>SUBTOTAL(9,AP2:AP120)</f>
        <v>0</v>
      </c>
      <c r="AQ121" s="170"/>
      <c r="AR121" s="171"/>
      <c r="AS121" s="171"/>
      <c r="AT121" s="171"/>
      <c r="AU121" s="171"/>
      <c r="AV121" s="172"/>
      <c r="AW121" s="173">
        <f>SUBTOTAL(9,AW2:AW120)</f>
        <v>70.820734246575341</v>
      </c>
      <c r="AX121" s="177"/>
      <c r="AY121" s="167"/>
      <c r="AZ121" s="168"/>
      <c r="BA121" s="178"/>
    </row>
    <row r="125" spans="1:53">
      <c r="O125" s="179"/>
    </row>
  </sheetData>
  <autoFilter ref="A1:BA116">
    <sortState ref="A2:BA115">
      <sortCondition ref="G1:G115"/>
    </sortState>
  </autoFilter>
  <conditionalFormatting sqref="B1">
    <cfRule type="containsBlanks" dxfId="36" priority="24" stopIfTrue="1">
      <formula>LEN(TRIM(B1))=0</formula>
    </cfRule>
  </conditionalFormatting>
  <conditionalFormatting sqref="N2:N116 U3:U116 AB3:AB116 AI3:AI116 AP2:AP116 AW2:AW116">
    <cfRule type="cellIs" dxfId="35" priority="22" stopIfTrue="1" operator="lessThan">
      <formula>0</formula>
    </cfRule>
    <cfRule type="cellIs" dxfId="34" priority="23" stopIfTrue="1" operator="greaterThan">
      <formula>0</formula>
    </cfRule>
  </conditionalFormatting>
  <conditionalFormatting sqref="N121">
    <cfRule type="cellIs" dxfId="33" priority="20" stopIfTrue="1" operator="lessThan">
      <formula>0</formula>
    </cfRule>
    <cfRule type="cellIs" dxfId="32" priority="21" stopIfTrue="1" operator="greaterThan">
      <formula>0</formula>
    </cfRule>
  </conditionalFormatting>
  <conditionalFormatting sqref="U2">
    <cfRule type="cellIs" dxfId="31" priority="18" stopIfTrue="1" operator="lessThan">
      <formula>0</formula>
    </cfRule>
    <cfRule type="cellIs" dxfId="30" priority="19" stopIfTrue="1" operator="greaterThan">
      <formula>0</formula>
    </cfRule>
  </conditionalFormatting>
  <conditionalFormatting sqref="V121:AA121 AC121:AH121 AJ121:AO121">
    <cfRule type="cellIs" dxfId="29" priority="16" stopIfTrue="1" operator="lessThan">
      <formula>0</formula>
    </cfRule>
    <cfRule type="cellIs" dxfId="28" priority="17" stopIfTrue="1" operator="greaterThan">
      <formula>0</formula>
    </cfRule>
  </conditionalFormatting>
  <conditionalFormatting sqref="AB2">
    <cfRule type="cellIs" dxfId="27" priority="14" stopIfTrue="1" operator="lessThan">
      <formula>0</formula>
    </cfRule>
    <cfRule type="cellIs" dxfId="26" priority="15" stopIfTrue="1" operator="greaterThan">
      <formula>0</formula>
    </cfRule>
  </conditionalFormatting>
  <conditionalFormatting sqref="AI2">
    <cfRule type="cellIs" dxfId="25" priority="12" stopIfTrue="1" operator="lessThan">
      <formula>0</formula>
    </cfRule>
    <cfRule type="cellIs" dxfId="24" priority="13" stopIfTrue="1" operator="greaterThan">
      <formula>0</formula>
    </cfRule>
  </conditionalFormatting>
  <conditionalFormatting sqref="C1">
    <cfRule type="containsBlanks" dxfId="23" priority="11" stopIfTrue="1">
      <formula>LEN(TRIM(C1))=0</formula>
    </cfRule>
  </conditionalFormatting>
  <conditionalFormatting sqref="U121">
    <cfRule type="cellIs" dxfId="22" priority="9" stopIfTrue="1" operator="lessThan">
      <formula>0</formula>
    </cfRule>
    <cfRule type="cellIs" dxfId="21" priority="10" stopIfTrue="1" operator="greaterThan">
      <formula>0</formula>
    </cfRule>
  </conditionalFormatting>
  <conditionalFormatting sqref="AB121">
    <cfRule type="cellIs" dxfId="20" priority="7" stopIfTrue="1" operator="lessThan">
      <formula>0</formula>
    </cfRule>
    <cfRule type="cellIs" dxfId="19" priority="8" stopIfTrue="1" operator="greaterThan">
      <formula>0</formula>
    </cfRule>
  </conditionalFormatting>
  <conditionalFormatting sqref="AI121">
    <cfRule type="cellIs" dxfId="18" priority="5" stopIfTrue="1" operator="lessThan">
      <formula>0</formula>
    </cfRule>
    <cfRule type="cellIs" dxfId="17" priority="6" stopIfTrue="1" operator="greaterThan">
      <formula>0</formula>
    </cfRule>
  </conditionalFormatting>
  <conditionalFormatting sqref="AP121">
    <cfRule type="cellIs" dxfId="16" priority="3" stopIfTrue="1" operator="lessThan">
      <formula>0</formula>
    </cfRule>
    <cfRule type="cellIs" dxfId="15" priority="4" stopIfTrue="1" operator="greaterThan">
      <formula>0</formula>
    </cfRule>
  </conditionalFormatting>
  <conditionalFormatting sqref="AW121">
    <cfRule type="cellIs" dxfId="14" priority="1" stopIfTrue="1" operator="lessThan">
      <formula>0</formula>
    </cfRule>
    <cfRule type="cellIs" dxfId="13" priority="2" stopIfTrue="1" operator="greaterThan">
      <formula>0</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16"/>
  <sheetViews>
    <sheetView tabSelected="1" zoomScale="90" zoomScaleNormal="90" workbookViewId="0">
      <pane xSplit="4" ySplit="1" topLeftCell="E109" activePane="bottomRight" state="frozen"/>
      <selection pane="topRight" activeCell="D1" sqref="D1"/>
      <selection pane="bottomLeft" activeCell="A2" sqref="A2"/>
      <selection pane="bottomRight" activeCell="B1" sqref="B1"/>
    </sheetView>
  </sheetViews>
  <sheetFormatPr defaultRowHeight="15"/>
  <cols>
    <col min="2" max="2" width="21" bestFit="1" customWidth="1"/>
    <col min="3" max="3" width="21" customWidth="1"/>
    <col min="4" max="4" width="31.42578125" style="9" customWidth="1"/>
    <col min="5" max="6" width="14.28515625" style="9" customWidth="1"/>
    <col min="7" max="7" width="17.5703125" customWidth="1"/>
    <col min="8" max="8" width="13.7109375" style="5" customWidth="1"/>
    <col min="9" max="9" width="14.5703125" style="5" customWidth="1"/>
    <col min="10" max="10" width="13.7109375" style="5" customWidth="1"/>
    <col min="11" max="11" width="14.5703125" style="5" customWidth="1"/>
    <col min="12" max="12" width="13.42578125" style="5" customWidth="1"/>
    <col min="13" max="13" width="14.28515625" style="5" customWidth="1"/>
    <col min="14" max="14" width="15" style="11" customWidth="1"/>
    <col min="15" max="15" width="13.7109375" style="5" customWidth="1"/>
    <col min="16" max="16" width="14.5703125" style="5" customWidth="1"/>
    <col min="17" max="17" width="13.7109375" style="5" customWidth="1"/>
    <col min="18" max="18" width="15.5703125" style="5" customWidth="1"/>
    <col min="19" max="19" width="13.42578125" style="5" customWidth="1"/>
    <col min="20" max="42" width="14.28515625" style="5" customWidth="1"/>
    <col min="43" max="43" width="11.85546875" style="5" customWidth="1"/>
    <col min="44" max="44" width="11.140625" style="5" customWidth="1"/>
    <col min="45" max="48" width="10.7109375" style="5" customWidth="1"/>
    <col min="49" max="49" width="12.5703125" style="11" customWidth="1"/>
    <col min="50" max="50" width="15.140625" bestFit="1" customWidth="1"/>
    <col min="51" max="51" width="14.5703125" customWidth="1"/>
    <col min="52" max="52" width="31.85546875" style="9" customWidth="1"/>
    <col min="53" max="53" width="14.5703125" style="9" customWidth="1"/>
  </cols>
  <sheetData>
    <row r="1" spans="1:53" ht="132.75" customHeight="1">
      <c r="A1" s="1" t="s">
        <v>0</v>
      </c>
      <c r="B1" s="1" t="s">
        <v>1</v>
      </c>
      <c r="C1" s="1" t="s">
        <v>30</v>
      </c>
      <c r="D1" s="1" t="s">
        <v>2</v>
      </c>
      <c r="E1" s="1" t="s">
        <v>12</v>
      </c>
      <c r="F1" s="1" t="s">
        <v>3</v>
      </c>
      <c r="G1" s="1" t="s">
        <v>16</v>
      </c>
      <c r="H1" s="2" t="s">
        <v>4</v>
      </c>
      <c r="I1" s="2" t="s">
        <v>426</v>
      </c>
      <c r="J1" s="2" t="s">
        <v>425</v>
      </c>
      <c r="K1" s="2" t="s">
        <v>5</v>
      </c>
      <c r="L1" s="2" t="s">
        <v>427</v>
      </c>
      <c r="M1" s="2" t="s">
        <v>428</v>
      </c>
      <c r="N1" s="3" t="s">
        <v>6</v>
      </c>
      <c r="O1" s="2" t="s">
        <v>24</v>
      </c>
      <c r="P1" s="2" t="s">
        <v>429</v>
      </c>
      <c r="Q1" s="2" t="s">
        <v>430</v>
      </c>
      <c r="R1" s="2" t="s">
        <v>25</v>
      </c>
      <c r="S1" s="2" t="s">
        <v>431</v>
      </c>
      <c r="T1" s="2" t="s">
        <v>432</v>
      </c>
      <c r="U1" s="3" t="s">
        <v>26</v>
      </c>
      <c r="V1" s="2" t="s">
        <v>18</v>
      </c>
      <c r="W1" s="2" t="s">
        <v>433</v>
      </c>
      <c r="X1" s="2" t="s">
        <v>434</v>
      </c>
      <c r="Y1" s="2" t="s">
        <v>19</v>
      </c>
      <c r="Z1" s="2" t="s">
        <v>435</v>
      </c>
      <c r="AA1" s="2" t="s">
        <v>436</v>
      </c>
      <c r="AB1" s="3" t="s">
        <v>20</v>
      </c>
      <c r="AC1" s="2" t="s">
        <v>21</v>
      </c>
      <c r="AD1" s="2" t="s">
        <v>437</v>
      </c>
      <c r="AE1" s="2" t="s">
        <v>438</v>
      </c>
      <c r="AF1" s="2" t="s">
        <v>22</v>
      </c>
      <c r="AG1" s="2" t="s">
        <v>439</v>
      </c>
      <c r="AH1" s="2" t="s">
        <v>440</v>
      </c>
      <c r="AI1" s="3" t="s">
        <v>23</v>
      </c>
      <c r="AJ1" s="2" t="s">
        <v>27</v>
      </c>
      <c r="AK1" s="2" t="s">
        <v>441</v>
      </c>
      <c r="AL1" s="2" t="s">
        <v>442</v>
      </c>
      <c r="AM1" s="2" t="s">
        <v>28</v>
      </c>
      <c r="AN1" s="2" t="s">
        <v>443</v>
      </c>
      <c r="AO1" s="2" t="s">
        <v>444</v>
      </c>
      <c r="AP1" s="3" t="s">
        <v>29</v>
      </c>
      <c r="AQ1" s="2" t="s">
        <v>7</v>
      </c>
      <c r="AR1" s="2" t="s">
        <v>445</v>
      </c>
      <c r="AS1" s="2" t="s">
        <v>446</v>
      </c>
      <c r="AT1" s="2" t="s">
        <v>8</v>
      </c>
      <c r="AU1" s="2" t="s">
        <v>447</v>
      </c>
      <c r="AV1" s="2" t="s">
        <v>448</v>
      </c>
      <c r="AW1" s="3" t="s">
        <v>9</v>
      </c>
      <c r="AX1" s="4" t="s">
        <v>10</v>
      </c>
      <c r="AY1" s="2" t="s">
        <v>11</v>
      </c>
      <c r="AZ1" s="1" t="s">
        <v>13</v>
      </c>
      <c r="BA1" s="1" t="s">
        <v>14</v>
      </c>
    </row>
    <row r="2" spans="1:53">
      <c r="A2" s="7" t="s">
        <v>55</v>
      </c>
      <c r="B2" s="14" t="s">
        <v>379</v>
      </c>
      <c r="C2" s="12" t="s">
        <v>258</v>
      </c>
      <c r="D2" s="13" t="s">
        <v>240</v>
      </c>
      <c r="E2" s="6" t="s">
        <v>244</v>
      </c>
      <c r="F2" s="6" t="s">
        <v>56</v>
      </c>
      <c r="G2" s="10">
        <v>41544</v>
      </c>
      <c r="H2" s="8">
        <v>4508.8</v>
      </c>
      <c r="I2" s="8">
        <f>4508.8/365</f>
        <v>12.352876712328767</v>
      </c>
      <c r="J2" s="8">
        <v>652.5</v>
      </c>
      <c r="K2" s="8">
        <f>1242.68+2509.64</f>
        <v>3752.3199999999997</v>
      </c>
      <c r="L2" s="8">
        <f>3752.32/365</f>
        <v>10.280328767123288</v>
      </c>
      <c r="M2" s="8">
        <f>203.55+332.43</f>
        <v>535.98</v>
      </c>
      <c r="N2" s="8">
        <f t="shared" ref="N2:N33" si="0">+L2-I2</f>
        <v>-2.0725479452054785</v>
      </c>
      <c r="O2" s="8">
        <v>0</v>
      </c>
      <c r="P2" s="8">
        <v>0</v>
      </c>
      <c r="Q2" s="8">
        <v>0</v>
      </c>
      <c r="R2" s="8">
        <v>0</v>
      </c>
      <c r="S2" s="8">
        <v>0</v>
      </c>
      <c r="T2" s="8">
        <v>0</v>
      </c>
      <c r="U2" s="8">
        <f t="shared" ref="U2:U33" si="1">+S2-P2</f>
        <v>0</v>
      </c>
      <c r="V2" s="8">
        <v>4508.8</v>
      </c>
      <c r="W2" s="8">
        <f>4508.8/365</f>
        <v>12.352876712328767</v>
      </c>
      <c r="X2" s="8">
        <v>652.5</v>
      </c>
      <c r="Y2" s="8">
        <f>1242.68+2509.64</f>
        <v>3752.3199999999997</v>
      </c>
      <c r="Z2" s="8">
        <f>3752.32/365</f>
        <v>10.280328767123288</v>
      </c>
      <c r="AA2" s="8">
        <f>203.55+332.43</f>
        <v>535.98</v>
      </c>
      <c r="AB2" s="8">
        <f t="shared" ref="AB2:AB33" si="2">+Z2-W2</f>
        <v>-2.0725479452054785</v>
      </c>
      <c r="AC2" s="8">
        <v>0</v>
      </c>
      <c r="AD2" s="8">
        <v>0</v>
      </c>
      <c r="AE2" s="8">
        <v>0</v>
      </c>
      <c r="AF2" s="8">
        <v>0</v>
      </c>
      <c r="AG2" s="8">
        <v>0</v>
      </c>
      <c r="AH2" s="8">
        <v>0</v>
      </c>
      <c r="AI2" s="8">
        <f t="shared" ref="AI2:AI33" si="3">+AG2-AD2</f>
        <v>0</v>
      </c>
      <c r="AJ2" s="8">
        <v>0</v>
      </c>
      <c r="AK2" s="8">
        <v>0</v>
      </c>
      <c r="AL2" s="8">
        <v>0</v>
      </c>
      <c r="AM2" s="8">
        <v>0</v>
      </c>
      <c r="AN2" s="8">
        <v>0</v>
      </c>
      <c r="AO2" s="8">
        <v>0</v>
      </c>
      <c r="AP2" s="8">
        <f t="shared" ref="AP2:AP33" si="4">+AN2-AK2</f>
        <v>0</v>
      </c>
      <c r="AQ2" s="8">
        <v>5486</v>
      </c>
      <c r="AR2" s="8">
        <v>15.03013698630137</v>
      </c>
      <c r="AS2" s="8">
        <v>726.6</v>
      </c>
      <c r="AT2" s="8">
        <v>5019.2700000000004</v>
      </c>
      <c r="AU2" s="8">
        <f>5019.27/365</f>
        <v>13.751424657534248</v>
      </c>
      <c r="AV2" s="8">
        <v>664.85</v>
      </c>
      <c r="AW2" s="8">
        <f t="shared" ref="AW2:AW33" si="5">+AU2-AR2</f>
        <v>-1.2787123287671225</v>
      </c>
      <c r="AX2" s="29">
        <v>20</v>
      </c>
      <c r="AY2" s="29">
        <v>20</v>
      </c>
      <c r="AZ2" s="6" t="s">
        <v>380</v>
      </c>
      <c r="BA2" s="6" t="s">
        <v>73</v>
      </c>
    </row>
    <row r="3" spans="1:53">
      <c r="A3" s="7" t="s">
        <v>55</v>
      </c>
      <c r="B3" s="23" t="s">
        <v>313</v>
      </c>
      <c r="C3" s="23" t="s">
        <v>312</v>
      </c>
      <c r="D3" s="28" t="s">
        <v>311</v>
      </c>
      <c r="E3" s="6" t="s">
        <v>15</v>
      </c>
      <c r="F3" s="6" t="s">
        <v>60</v>
      </c>
      <c r="G3" s="10">
        <v>41663</v>
      </c>
      <c r="H3" s="8">
        <v>0</v>
      </c>
      <c r="I3" s="8">
        <v>0</v>
      </c>
      <c r="J3" s="8">
        <v>0</v>
      </c>
      <c r="K3" s="8">
        <v>1.28</v>
      </c>
      <c r="L3" s="8">
        <f>1.28/365</f>
        <v>3.5068493150684932E-3</v>
      </c>
      <c r="M3" s="8">
        <v>0.11</v>
      </c>
      <c r="N3" s="8">
        <f t="shared" si="0"/>
        <v>3.5068493150684932E-3</v>
      </c>
      <c r="O3" s="8">
        <v>0</v>
      </c>
      <c r="P3" s="8">
        <v>0</v>
      </c>
      <c r="Q3" s="8">
        <v>0</v>
      </c>
      <c r="R3" s="8">
        <v>0</v>
      </c>
      <c r="S3" s="8">
        <v>0</v>
      </c>
      <c r="T3" s="8">
        <v>0</v>
      </c>
      <c r="U3" s="8">
        <f t="shared" si="1"/>
        <v>0</v>
      </c>
      <c r="V3" s="8">
        <v>0</v>
      </c>
      <c r="W3" s="8">
        <v>0</v>
      </c>
      <c r="X3" s="8">
        <v>0</v>
      </c>
      <c r="Y3" s="8">
        <v>1.28</v>
      </c>
      <c r="Z3" s="8">
        <f>1.28/365</f>
        <v>3.5068493150684932E-3</v>
      </c>
      <c r="AA3" s="8">
        <v>0.11</v>
      </c>
      <c r="AB3" s="8">
        <f t="shared" si="2"/>
        <v>3.5068493150684932E-3</v>
      </c>
      <c r="AC3" s="8">
        <v>0</v>
      </c>
      <c r="AD3" s="8">
        <v>0</v>
      </c>
      <c r="AE3" s="8">
        <v>0</v>
      </c>
      <c r="AF3" s="8">
        <v>0</v>
      </c>
      <c r="AG3" s="8">
        <v>0</v>
      </c>
      <c r="AH3" s="8">
        <v>0</v>
      </c>
      <c r="AI3" s="8">
        <f t="shared" si="3"/>
        <v>0</v>
      </c>
      <c r="AJ3" s="8">
        <v>0</v>
      </c>
      <c r="AK3" s="8">
        <v>0</v>
      </c>
      <c r="AL3" s="8">
        <v>0</v>
      </c>
      <c r="AM3" s="8">
        <v>0</v>
      </c>
      <c r="AN3" s="8">
        <v>0</v>
      </c>
      <c r="AO3" s="8">
        <v>0</v>
      </c>
      <c r="AP3" s="8">
        <f t="shared" si="4"/>
        <v>0</v>
      </c>
      <c r="AQ3" s="8">
        <v>0</v>
      </c>
      <c r="AR3" s="8">
        <v>0</v>
      </c>
      <c r="AS3" s="8">
        <v>0</v>
      </c>
      <c r="AT3" s="8">
        <v>0</v>
      </c>
      <c r="AU3" s="8">
        <v>0</v>
      </c>
      <c r="AV3" s="8">
        <v>0</v>
      </c>
      <c r="AW3" s="8">
        <f t="shared" si="5"/>
        <v>0</v>
      </c>
      <c r="AX3" s="29">
        <v>20</v>
      </c>
      <c r="AY3" s="29">
        <v>20</v>
      </c>
      <c r="AZ3" s="6"/>
      <c r="BA3" s="6" t="s">
        <v>73</v>
      </c>
    </row>
    <row r="4" spans="1:53">
      <c r="A4" s="7" t="s">
        <v>55</v>
      </c>
      <c r="B4" s="14" t="s">
        <v>91</v>
      </c>
      <c r="C4" s="24" t="s">
        <v>132</v>
      </c>
      <c r="D4" s="13" t="s">
        <v>118</v>
      </c>
      <c r="E4" s="6" t="s">
        <v>101</v>
      </c>
      <c r="F4" s="6" t="s">
        <v>92</v>
      </c>
      <c r="G4" s="10">
        <v>41667</v>
      </c>
      <c r="H4" s="8">
        <v>0</v>
      </c>
      <c r="I4" s="8">
        <v>0</v>
      </c>
      <c r="J4" s="8">
        <v>0</v>
      </c>
      <c r="K4" s="8">
        <v>6.27</v>
      </c>
      <c r="L4" s="8">
        <v>1.7000000000000001E-2</v>
      </c>
      <c r="M4" s="8">
        <v>0.52</v>
      </c>
      <c r="N4" s="8">
        <f t="shared" si="0"/>
        <v>1.7000000000000001E-2</v>
      </c>
      <c r="O4" s="8">
        <v>0</v>
      </c>
      <c r="P4" s="8">
        <v>0</v>
      </c>
      <c r="Q4" s="8">
        <v>0</v>
      </c>
      <c r="R4" s="8">
        <v>6.27</v>
      </c>
      <c r="S4" s="8">
        <v>1.7000000000000001E-2</v>
      </c>
      <c r="T4" s="8">
        <v>0.52</v>
      </c>
      <c r="U4" s="8">
        <f t="shared" si="1"/>
        <v>1.7000000000000001E-2</v>
      </c>
      <c r="V4" s="8">
        <v>0</v>
      </c>
      <c r="W4" s="8">
        <v>0</v>
      </c>
      <c r="X4" s="8">
        <v>0</v>
      </c>
      <c r="Y4" s="8">
        <v>0</v>
      </c>
      <c r="Z4" s="8">
        <v>0</v>
      </c>
      <c r="AA4" s="8">
        <v>0</v>
      </c>
      <c r="AB4" s="8">
        <f t="shared" si="2"/>
        <v>0</v>
      </c>
      <c r="AC4" s="8">
        <v>0</v>
      </c>
      <c r="AD4" s="8">
        <v>0</v>
      </c>
      <c r="AE4" s="8">
        <v>0</v>
      </c>
      <c r="AF4" s="8">
        <v>0</v>
      </c>
      <c r="AG4" s="8">
        <v>0</v>
      </c>
      <c r="AH4" s="8">
        <v>0</v>
      </c>
      <c r="AI4" s="8">
        <f t="shared" si="3"/>
        <v>0</v>
      </c>
      <c r="AJ4" s="8">
        <v>0</v>
      </c>
      <c r="AK4" s="8">
        <v>0</v>
      </c>
      <c r="AL4" s="8">
        <v>0</v>
      </c>
      <c r="AM4" s="8">
        <v>0</v>
      </c>
      <c r="AN4" s="8">
        <v>0</v>
      </c>
      <c r="AO4" s="8">
        <v>0</v>
      </c>
      <c r="AP4" s="8">
        <f t="shared" si="4"/>
        <v>0</v>
      </c>
      <c r="AQ4" s="8">
        <v>0</v>
      </c>
      <c r="AR4" s="8">
        <v>0</v>
      </c>
      <c r="AS4" s="8">
        <v>0</v>
      </c>
      <c r="AT4" s="8">
        <v>0</v>
      </c>
      <c r="AU4" s="8">
        <v>0</v>
      </c>
      <c r="AV4" s="8">
        <v>0</v>
      </c>
      <c r="AW4" s="8">
        <f t="shared" si="5"/>
        <v>0</v>
      </c>
      <c r="AX4" s="29">
        <v>20</v>
      </c>
      <c r="AY4" s="29">
        <v>20</v>
      </c>
      <c r="AZ4" s="6"/>
      <c r="BA4" s="6" t="s">
        <v>73</v>
      </c>
    </row>
    <row r="5" spans="1:53" ht="30">
      <c r="A5" s="7" t="s">
        <v>55</v>
      </c>
      <c r="B5" s="14" t="s">
        <v>94</v>
      </c>
      <c r="C5" s="24" t="s">
        <v>134</v>
      </c>
      <c r="D5" s="17" t="s">
        <v>98</v>
      </c>
      <c r="E5" s="6" t="s">
        <v>15</v>
      </c>
      <c r="F5" s="6" t="s">
        <v>58</v>
      </c>
      <c r="G5" s="10">
        <v>41670</v>
      </c>
      <c r="H5" s="8">
        <v>0</v>
      </c>
      <c r="I5" s="8">
        <v>0</v>
      </c>
      <c r="J5" s="8">
        <v>0</v>
      </c>
      <c r="K5" s="8">
        <v>12.77</v>
      </c>
      <c r="L5" s="8">
        <v>3.5000000000000003E-2</v>
      </c>
      <c r="M5" s="8">
        <v>1.03</v>
      </c>
      <c r="N5" s="8">
        <f t="shared" si="0"/>
        <v>3.5000000000000003E-2</v>
      </c>
      <c r="O5" s="8">
        <v>0</v>
      </c>
      <c r="P5" s="8">
        <v>0</v>
      </c>
      <c r="Q5" s="8">
        <v>0</v>
      </c>
      <c r="R5" s="8">
        <v>0</v>
      </c>
      <c r="S5" s="8">
        <v>0</v>
      </c>
      <c r="T5" s="8">
        <v>0</v>
      </c>
      <c r="U5" s="8">
        <f t="shared" si="1"/>
        <v>0</v>
      </c>
      <c r="V5" s="8">
        <v>0</v>
      </c>
      <c r="W5" s="8">
        <v>0</v>
      </c>
      <c r="X5" s="8">
        <v>0</v>
      </c>
      <c r="Y5" s="8">
        <v>12.77</v>
      </c>
      <c r="Z5" s="8">
        <v>3.5000000000000003E-2</v>
      </c>
      <c r="AA5" s="8">
        <v>1.06</v>
      </c>
      <c r="AB5" s="8">
        <f t="shared" si="2"/>
        <v>3.5000000000000003E-2</v>
      </c>
      <c r="AC5" s="8">
        <v>0</v>
      </c>
      <c r="AD5" s="8">
        <v>0</v>
      </c>
      <c r="AE5" s="8">
        <v>0</v>
      </c>
      <c r="AF5" s="8">
        <v>0</v>
      </c>
      <c r="AG5" s="8">
        <v>0</v>
      </c>
      <c r="AH5" s="8">
        <v>0</v>
      </c>
      <c r="AI5" s="8">
        <f t="shared" si="3"/>
        <v>0</v>
      </c>
      <c r="AJ5" s="8">
        <v>0</v>
      </c>
      <c r="AK5" s="8">
        <v>0</v>
      </c>
      <c r="AL5" s="8">
        <v>0</v>
      </c>
      <c r="AM5" s="8">
        <v>0</v>
      </c>
      <c r="AN5" s="8">
        <v>0</v>
      </c>
      <c r="AO5" s="8">
        <v>0</v>
      </c>
      <c r="AP5" s="8">
        <f t="shared" si="4"/>
        <v>0</v>
      </c>
      <c r="AQ5" s="8">
        <v>0</v>
      </c>
      <c r="AR5" s="8">
        <v>0</v>
      </c>
      <c r="AS5" s="8">
        <v>0</v>
      </c>
      <c r="AT5" s="8">
        <v>0</v>
      </c>
      <c r="AU5" s="8">
        <v>0</v>
      </c>
      <c r="AV5" s="8">
        <v>0</v>
      </c>
      <c r="AW5" s="8">
        <f t="shared" si="5"/>
        <v>0</v>
      </c>
      <c r="AX5" s="29">
        <v>20</v>
      </c>
      <c r="AY5" s="29">
        <v>20</v>
      </c>
      <c r="AZ5" s="6"/>
      <c r="BA5" s="6" t="s">
        <v>73</v>
      </c>
    </row>
    <row r="6" spans="1:53">
      <c r="A6" s="7" t="s">
        <v>55</v>
      </c>
      <c r="B6" s="14" t="s">
        <v>89</v>
      </c>
      <c r="C6" s="12" t="s">
        <v>131</v>
      </c>
      <c r="D6" s="13" t="s">
        <v>90</v>
      </c>
      <c r="E6" s="6" t="s">
        <v>244</v>
      </c>
      <c r="F6" s="6" t="s">
        <v>59</v>
      </c>
      <c r="G6" s="10">
        <v>41673</v>
      </c>
      <c r="H6" s="8">
        <v>0</v>
      </c>
      <c r="I6" s="8">
        <v>0</v>
      </c>
      <c r="J6" s="8">
        <v>0</v>
      </c>
      <c r="K6" s="8">
        <f>523.06+233.15</f>
        <v>756.20999999999992</v>
      </c>
      <c r="L6" s="8">
        <f>756.21/365</f>
        <v>2.0718082191780822</v>
      </c>
      <c r="M6" s="8">
        <f>85.68+30.88</f>
        <v>116.56</v>
      </c>
      <c r="N6" s="8">
        <f t="shared" si="0"/>
        <v>2.0718082191780822</v>
      </c>
      <c r="O6" s="8">
        <v>0</v>
      </c>
      <c r="P6" s="8">
        <v>0</v>
      </c>
      <c r="Q6" s="8">
        <v>0</v>
      </c>
      <c r="R6" s="8">
        <v>0</v>
      </c>
      <c r="S6" s="8">
        <v>0</v>
      </c>
      <c r="T6" s="8">
        <v>0</v>
      </c>
      <c r="U6" s="8">
        <f t="shared" si="1"/>
        <v>0</v>
      </c>
      <c r="V6" s="8">
        <v>0</v>
      </c>
      <c r="W6" s="8">
        <v>0</v>
      </c>
      <c r="X6" s="8">
        <v>0</v>
      </c>
      <c r="Y6" s="8">
        <f>523.06+233.15</f>
        <v>756.20999999999992</v>
      </c>
      <c r="Z6" s="8">
        <v>2.073</v>
      </c>
      <c r="AA6" s="8">
        <f>85.68+30.88</f>
        <v>116.56</v>
      </c>
      <c r="AB6" s="8">
        <f t="shared" si="2"/>
        <v>2.073</v>
      </c>
      <c r="AC6" s="8">
        <v>0</v>
      </c>
      <c r="AD6" s="8">
        <v>0</v>
      </c>
      <c r="AE6" s="8">
        <v>0</v>
      </c>
      <c r="AF6" s="8">
        <v>0</v>
      </c>
      <c r="AG6" s="8">
        <v>0</v>
      </c>
      <c r="AH6" s="8">
        <v>0</v>
      </c>
      <c r="AI6" s="8">
        <f t="shared" si="3"/>
        <v>0</v>
      </c>
      <c r="AJ6" s="8">
        <v>0</v>
      </c>
      <c r="AK6" s="8">
        <v>0</v>
      </c>
      <c r="AL6" s="8">
        <v>0</v>
      </c>
      <c r="AM6" s="8">
        <v>0</v>
      </c>
      <c r="AN6" s="8">
        <v>0</v>
      </c>
      <c r="AO6" s="8">
        <v>0</v>
      </c>
      <c r="AP6" s="8">
        <f t="shared" si="4"/>
        <v>0</v>
      </c>
      <c r="AQ6" s="8">
        <v>0</v>
      </c>
      <c r="AR6" s="8">
        <v>0</v>
      </c>
      <c r="AS6" s="8">
        <v>0</v>
      </c>
      <c r="AT6" s="8">
        <v>466.3</v>
      </c>
      <c r="AU6" s="8">
        <f>466.3/365</f>
        <v>1.2775342465753425</v>
      </c>
      <c r="AV6" s="8">
        <v>61.77</v>
      </c>
      <c r="AW6" s="8">
        <f t="shared" si="5"/>
        <v>1.2775342465753425</v>
      </c>
      <c r="AX6" s="29">
        <v>20</v>
      </c>
      <c r="AY6" s="29">
        <v>20</v>
      </c>
      <c r="AZ6" s="6" t="s">
        <v>380</v>
      </c>
      <c r="BA6" s="6" t="s">
        <v>73</v>
      </c>
    </row>
    <row r="7" spans="1:53">
      <c r="A7" s="7" t="s">
        <v>55</v>
      </c>
      <c r="B7" s="25" t="s">
        <v>316</v>
      </c>
      <c r="C7" s="25" t="s">
        <v>317</v>
      </c>
      <c r="D7" s="28" t="s">
        <v>315</v>
      </c>
      <c r="E7" s="6" t="s">
        <v>15</v>
      </c>
      <c r="F7" s="6" t="s">
        <v>60</v>
      </c>
      <c r="G7" s="27">
        <v>41717</v>
      </c>
      <c r="H7" s="8">
        <v>5.84</v>
      </c>
      <c r="I7" s="8">
        <f>5.84/365</f>
        <v>1.6E-2</v>
      </c>
      <c r="J7" s="8">
        <v>0.49</v>
      </c>
      <c r="K7" s="8">
        <v>5.84</v>
      </c>
      <c r="L7" s="8">
        <f>5.84/365</f>
        <v>1.6E-2</v>
      </c>
      <c r="M7" s="8">
        <v>0.49</v>
      </c>
      <c r="N7" s="8">
        <f t="shared" si="0"/>
        <v>0</v>
      </c>
      <c r="O7" s="8">
        <v>0</v>
      </c>
      <c r="P7" s="8">
        <v>0</v>
      </c>
      <c r="Q7" s="8">
        <v>0</v>
      </c>
      <c r="R7" s="8">
        <v>0</v>
      </c>
      <c r="S7" s="8">
        <v>0</v>
      </c>
      <c r="T7" s="8">
        <v>0</v>
      </c>
      <c r="U7" s="8">
        <f t="shared" si="1"/>
        <v>0</v>
      </c>
      <c r="V7" s="8">
        <v>5.84</v>
      </c>
      <c r="W7" s="8">
        <f>5.84/365</f>
        <v>1.6E-2</v>
      </c>
      <c r="X7" s="8">
        <v>0.49</v>
      </c>
      <c r="Y7" s="8">
        <v>5.84</v>
      </c>
      <c r="Z7" s="8">
        <f>5.84/365</f>
        <v>1.6E-2</v>
      </c>
      <c r="AA7" s="8">
        <v>0.49</v>
      </c>
      <c r="AB7" s="8">
        <f t="shared" si="2"/>
        <v>0</v>
      </c>
      <c r="AC7" s="8">
        <v>0</v>
      </c>
      <c r="AD7" s="8">
        <v>0</v>
      </c>
      <c r="AE7" s="8">
        <v>0</v>
      </c>
      <c r="AF7" s="8">
        <v>0</v>
      </c>
      <c r="AG7" s="8">
        <v>0</v>
      </c>
      <c r="AH7" s="8">
        <v>0</v>
      </c>
      <c r="AI7" s="8">
        <f t="shared" si="3"/>
        <v>0</v>
      </c>
      <c r="AJ7" s="8">
        <v>0</v>
      </c>
      <c r="AK7" s="8">
        <v>0</v>
      </c>
      <c r="AL7" s="8">
        <v>0</v>
      </c>
      <c r="AM7" s="8">
        <v>0</v>
      </c>
      <c r="AN7" s="8">
        <v>0</v>
      </c>
      <c r="AO7" s="8">
        <v>0</v>
      </c>
      <c r="AP7" s="8">
        <f t="shared" si="4"/>
        <v>0</v>
      </c>
      <c r="AQ7" s="8">
        <v>0</v>
      </c>
      <c r="AR7" s="8">
        <v>0</v>
      </c>
      <c r="AS7" s="8">
        <v>0</v>
      </c>
      <c r="AT7" s="8">
        <v>0</v>
      </c>
      <c r="AU7" s="8">
        <v>0</v>
      </c>
      <c r="AV7" s="8">
        <v>0</v>
      </c>
      <c r="AW7" s="8">
        <f t="shared" si="5"/>
        <v>0</v>
      </c>
      <c r="AX7" s="29">
        <v>20</v>
      </c>
      <c r="AY7" s="29">
        <v>20</v>
      </c>
      <c r="AZ7" s="6"/>
      <c r="BA7" s="6" t="s">
        <v>73</v>
      </c>
    </row>
    <row r="8" spans="1:53">
      <c r="A8" s="7" t="s">
        <v>55</v>
      </c>
      <c r="B8" s="23" t="s">
        <v>368</v>
      </c>
      <c r="C8" s="23" t="s">
        <v>369</v>
      </c>
      <c r="D8" s="25" t="s">
        <v>367</v>
      </c>
      <c r="E8" s="6" t="s">
        <v>15</v>
      </c>
      <c r="F8" s="6" t="s">
        <v>60</v>
      </c>
      <c r="G8" s="10">
        <v>41717</v>
      </c>
      <c r="H8" s="8">
        <v>18.46</v>
      </c>
      <c r="I8" s="8">
        <f>18.46/365</f>
        <v>5.0575342465753424E-2</v>
      </c>
      <c r="J8" s="8">
        <v>2.2999999999999998</v>
      </c>
      <c r="K8" s="8">
        <v>18.46</v>
      </c>
      <c r="L8" s="8">
        <f>18.46/365</f>
        <v>5.0575342465753424E-2</v>
      </c>
      <c r="M8" s="8">
        <v>2.2999999999999998</v>
      </c>
      <c r="N8" s="8">
        <f t="shared" si="0"/>
        <v>0</v>
      </c>
      <c r="O8" s="8">
        <v>0</v>
      </c>
      <c r="P8" s="8">
        <v>0</v>
      </c>
      <c r="Q8" s="8">
        <v>0</v>
      </c>
      <c r="R8" s="8">
        <v>0</v>
      </c>
      <c r="S8" s="8">
        <v>0</v>
      </c>
      <c r="T8" s="8">
        <v>0</v>
      </c>
      <c r="U8" s="8">
        <f t="shared" si="1"/>
        <v>0</v>
      </c>
      <c r="V8" s="8">
        <v>18.46</v>
      </c>
      <c r="W8" s="8">
        <f>18.46/365</f>
        <v>5.0575342465753424E-2</v>
      </c>
      <c r="X8" s="8">
        <v>2.2999999999999998</v>
      </c>
      <c r="Y8" s="8">
        <v>18.46</v>
      </c>
      <c r="Z8" s="8">
        <f>18.46/365</f>
        <v>5.0575342465753424E-2</v>
      </c>
      <c r="AA8" s="8">
        <v>2.2999999999999998</v>
      </c>
      <c r="AB8" s="8">
        <f t="shared" si="2"/>
        <v>0</v>
      </c>
      <c r="AC8" s="8">
        <v>0</v>
      </c>
      <c r="AD8" s="8">
        <v>0</v>
      </c>
      <c r="AE8" s="8">
        <v>0</v>
      </c>
      <c r="AF8" s="8">
        <v>0</v>
      </c>
      <c r="AG8" s="8">
        <v>0</v>
      </c>
      <c r="AH8" s="8">
        <v>0</v>
      </c>
      <c r="AI8" s="8">
        <f t="shared" si="3"/>
        <v>0</v>
      </c>
      <c r="AJ8" s="8">
        <v>0</v>
      </c>
      <c r="AK8" s="8">
        <v>0</v>
      </c>
      <c r="AL8" s="8">
        <v>0</v>
      </c>
      <c r="AM8" s="8">
        <v>0</v>
      </c>
      <c r="AN8" s="8">
        <v>0</v>
      </c>
      <c r="AO8" s="8">
        <v>0</v>
      </c>
      <c r="AP8" s="8">
        <f t="shared" si="4"/>
        <v>0</v>
      </c>
      <c r="AQ8" s="8">
        <v>0</v>
      </c>
      <c r="AR8" s="8">
        <v>0</v>
      </c>
      <c r="AS8" s="8">
        <v>0</v>
      </c>
      <c r="AT8" s="8">
        <v>0</v>
      </c>
      <c r="AU8" s="8">
        <v>0</v>
      </c>
      <c r="AV8" s="8">
        <v>0</v>
      </c>
      <c r="AW8" s="8">
        <f t="shared" si="5"/>
        <v>0</v>
      </c>
      <c r="AX8" s="29">
        <v>20</v>
      </c>
      <c r="AY8" s="29">
        <v>20</v>
      </c>
      <c r="AZ8" s="6"/>
      <c r="BA8" s="6" t="s">
        <v>73</v>
      </c>
    </row>
    <row r="9" spans="1:53">
      <c r="A9" s="7" t="s">
        <v>55</v>
      </c>
      <c r="B9" s="14" t="s">
        <v>102</v>
      </c>
      <c r="C9" s="24" t="s">
        <v>137</v>
      </c>
      <c r="D9" s="17" t="s">
        <v>105</v>
      </c>
      <c r="E9" s="6" t="s">
        <v>15</v>
      </c>
      <c r="F9" s="6" t="s">
        <v>58</v>
      </c>
      <c r="G9" s="10">
        <v>41718</v>
      </c>
      <c r="H9" s="8">
        <v>0</v>
      </c>
      <c r="I9" s="8">
        <v>0</v>
      </c>
      <c r="J9" s="8">
        <v>0</v>
      </c>
      <c r="K9" s="8">
        <v>36.5</v>
      </c>
      <c r="L9" s="8">
        <v>0.1</v>
      </c>
      <c r="M9" s="8">
        <v>0.3</v>
      </c>
      <c r="N9" s="8">
        <f t="shared" si="0"/>
        <v>0.1</v>
      </c>
      <c r="O9" s="8">
        <v>0</v>
      </c>
      <c r="P9" s="8">
        <v>0</v>
      </c>
      <c r="Q9" s="8">
        <v>0</v>
      </c>
      <c r="R9" s="8">
        <v>0</v>
      </c>
      <c r="S9" s="8">
        <v>0</v>
      </c>
      <c r="T9" s="8">
        <v>0</v>
      </c>
      <c r="U9" s="8">
        <f t="shared" si="1"/>
        <v>0</v>
      </c>
      <c r="V9" s="8">
        <v>0</v>
      </c>
      <c r="W9" s="8">
        <v>0</v>
      </c>
      <c r="X9" s="8">
        <v>0</v>
      </c>
      <c r="Y9" s="8">
        <v>36.5</v>
      </c>
      <c r="Z9" s="8">
        <v>0.1</v>
      </c>
      <c r="AA9" s="8">
        <v>0.3</v>
      </c>
      <c r="AB9" s="8">
        <f t="shared" si="2"/>
        <v>0.1</v>
      </c>
      <c r="AC9" s="8">
        <v>0</v>
      </c>
      <c r="AD9" s="8">
        <v>0</v>
      </c>
      <c r="AE9" s="8">
        <v>0</v>
      </c>
      <c r="AF9" s="8">
        <v>0</v>
      </c>
      <c r="AG9" s="8">
        <v>0</v>
      </c>
      <c r="AH9" s="8">
        <v>0</v>
      </c>
      <c r="AI9" s="8">
        <f t="shared" si="3"/>
        <v>0</v>
      </c>
      <c r="AJ9" s="8">
        <v>0</v>
      </c>
      <c r="AK9" s="8">
        <v>0</v>
      </c>
      <c r="AL9" s="8">
        <v>0</v>
      </c>
      <c r="AM9" s="8">
        <v>0</v>
      </c>
      <c r="AN9" s="8">
        <v>0</v>
      </c>
      <c r="AO9" s="8">
        <v>0</v>
      </c>
      <c r="AP9" s="8">
        <f t="shared" si="4"/>
        <v>0</v>
      </c>
      <c r="AQ9" s="8">
        <v>0</v>
      </c>
      <c r="AR9" s="8">
        <v>0</v>
      </c>
      <c r="AS9" s="8">
        <v>0</v>
      </c>
      <c r="AT9" s="8">
        <v>0</v>
      </c>
      <c r="AU9" s="8">
        <v>0</v>
      </c>
      <c r="AV9" s="8">
        <v>0</v>
      </c>
      <c r="AW9" s="8">
        <f t="shared" si="5"/>
        <v>0</v>
      </c>
      <c r="AX9" s="29">
        <v>20</v>
      </c>
      <c r="AY9" s="29">
        <v>20</v>
      </c>
      <c r="AZ9" s="6"/>
      <c r="BA9" s="6" t="s">
        <v>73</v>
      </c>
    </row>
    <row r="10" spans="1:53">
      <c r="A10" s="7" t="s">
        <v>55</v>
      </c>
      <c r="B10" s="14" t="s">
        <v>96</v>
      </c>
      <c r="C10" s="24" t="s">
        <v>136</v>
      </c>
      <c r="D10" s="17" t="s">
        <v>100</v>
      </c>
      <c r="E10" s="6" t="s">
        <v>15</v>
      </c>
      <c r="F10" s="6" t="s">
        <v>56</v>
      </c>
      <c r="G10" s="10">
        <v>41722</v>
      </c>
      <c r="H10" s="8">
        <v>436</v>
      </c>
      <c r="I10" s="8">
        <v>1.19</v>
      </c>
      <c r="J10" s="8">
        <v>215</v>
      </c>
      <c r="K10" s="8">
        <v>436</v>
      </c>
      <c r="L10" s="8">
        <v>1.19</v>
      </c>
      <c r="M10" s="8">
        <v>192</v>
      </c>
      <c r="N10" s="8">
        <f t="shared" si="0"/>
        <v>0</v>
      </c>
      <c r="O10" s="8">
        <v>0</v>
      </c>
      <c r="P10" s="8">
        <v>0</v>
      </c>
      <c r="Q10" s="8">
        <v>0</v>
      </c>
      <c r="R10" s="8">
        <v>0</v>
      </c>
      <c r="S10" s="8">
        <v>0</v>
      </c>
      <c r="T10" s="8">
        <v>0</v>
      </c>
      <c r="U10" s="8">
        <f t="shared" si="1"/>
        <v>0</v>
      </c>
      <c r="V10" s="8">
        <v>436</v>
      </c>
      <c r="W10" s="8">
        <v>1.19</v>
      </c>
      <c r="X10" s="8">
        <v>215</v>
      </c>
      <c r="Y10" s="8">
        <v>436</v>
      </c>
      <c r="Z10" s="8">
        <v>1.19</v>
      </c>
      <c r="AA10" s="8">
        <v>192</v>
      </c>
      <c r="AB10" s="8">
        <f t="shared" si="2"/>
        <v>0</v>
      </c>
      <c r="AC10" s="8">
        <v>0</v>
      </c>
      <c r="AD10" s="8">
        <v>0</v>
      </c>
      <c r="AE10" s="8">
        <v>0</v>
      </c>
      <c r="AF10" s="8">
        <v>0</v>
      </c>
      <c r="AG10" s="8">
        <v>0</v>
      </c>
      <c r="AH10" s="8">
        <v>0</v>
      </c>
      <c r="AI10" s="8">
        <f t="shared" si="3"/>
        <v>0</v>
      </c>
      <c r="AJ10" s="8">
        <v>0</v>
      </c>
      <c r="AK10" s="8">
        <v>0</v>
      </c>
      <c r="AL10" s="8">
        <v>0</v>
      </c>
      <c r="AM10" s="8">
        <v>0</v>
      </c>
      <c r="AN10" s="8">
        <v>0</v>
      </c>
      <c r="AO10" s="8">
        <v>0</v>
      </c>
      <c r="AP10" s="8">
        <f t="shared" si="4"/>
        <v>0</v>
      </c>
      <c r="AQ10" s="8">
        <v>0</v>
      </c>
      <c r="AR10" s="8">
        <v>0</v>
      </c>
      <c r="AS10" s="8">
        <v>0</v>
      </c>
      <c r="AT10" s="8">
        <v>0</v>
      </c>
      <c r="AU10" s="8">
        <v>0</v>
      </c>
      <c r="AV10" s="8">
        <v>0</v>
      </c>
      <c r="AW10" s="8">
        <f t="shared" si="5"/>
        <v>0</v>
      </c>
      <c r="AX10" s="29">
        <v>20</v>
      </c>
      <c r="AY10" s="29">
        <v>20</v>
      </c>
      <c r="AZ10" s="6"/>
      <c r="BA10" s="6" t="s">
        <v>73</v>
      </c>
    </row>
    <row r="11" spans="1:53" ht="30">
      <c r="A11" s="7" t="s">
        <v>55</v>
      </c>
      <c r="B11" s="14" t="s">
        <v>104</v>
      </c>
      <c r="C11" s="24" t="s">
        <v>139</v>
      </c>
      <c r="D11" s="17" t="s">
        <v>111</v>
      </c>
      <c r="E11" s="6" t="s">
        <v>15</v>
      </c>
      <c r="F11" s="6" t="s">
        <v>56</v>
      </c>
      <c r="G11" s="10">
        <v>41730</v>
      </c>
      <c r="H11" s="8">
        <v>1.1000000000000001</v>
      </c>
      <c r="I11" s="8">
        <v>3.0000000000000001E-3</v>
      </c>
      <c r="J11" s="8">
        <v>0.04</v>
      </c>
      <c r="K11" s="8">
        <v>1.1000000000000001</v>
      </c>
      <c r="L11" s="8">
        <v>3.0000000000000001E-3</v>
      </c>
      <c r="M11" s="8">
        <v>0.04</v>
      </c>
      <c r="N11" s="8">
        <f t="shared" si="0"/>
        <v>0</v>
      </c>
      <c r="O11" s="8">
        <v>0</v>
      </c>
      <c r="P11" s="8">
        <v>0</v>
      </c>
      <c r="Q11" s="8">
        <v>0</v>
      </c>
      <c r="R11" s="8">
        <v>0</v>
      </c>
      <c r="S11" s="8">
        <v>0</v>
      </c>
      <c r="T11" s="8">
        <v>0</v>
      </c>
      <c r="U11" s="8">
        <f t="shared" si="1"/>
        <v>0</v>
      </c>
      <c r="V11" s="8">
        <v>1.1000000000000001</v>
      </c>
      <c r="W11" s="8">
        <v>3.0000000000000001E-3</v>
      </c>
      <c r="X11" s="8">
        <v>0.04</v>
      </c>
      <c r="Y11" s="8">
        <v>1.1000000000000001</v>
      </c>
      <c r="Z11" s="8">
        <v>3.0000000000000001E-3</v>
      </c>
      <c r="AA11" s="8">
        <v>0.04</v>
      </c>
      <c r="AB11" s="8">
        <f t="shared" si="2"/>
        <v>0</v>
      </c>
      <c r="AC11" s="8">
        <v>0</v>
      </c>
      <c r="AD11" s="8">
        <v>0</v>
      </c>
      <c r="AE11" s="8">
        <v>0</v>
      </c>
      <c r="AF11" s="8">
        <v>0</v>
      </c>
      <c r="AG11" s="8">
        <v>0</v>
      </c>
      <c r="AH11" s="8">
        <v>0</v>
      </c>
      <c r="AI11" s="8">
        <f t="shared" si="3"/>
        <v>0</v>
      </c>
      <c r="AJ11" s="8">
        <v>0</v>
      </c>
      <c r="AK11" s="8">
        <v>0</v>
      </c>
      <c r="AL11" s="8">
        <v>0</v>
      </c>
      <c r="AM11" s="8">
        <v>0</v>
      </c>
      <c r="AN11" s="8">
        <v>0</v>
      </c>
      <c r="AO11" s="8">
        <v>0</v>
      </c>
      <c r="AP11" s="8">
        <f t="shared" si="4"/>
        <v>0</v>
      </c>
      <c r="AQ11" s="8">
        <v>0</v>
      </c>
      <c r="AR11" s="8">
        <v>0</v>
      </c>
      <c r="AS11" s="8">
        <v>0</v>
      </c>
      <c r="AT11" s="8">
        <v>0</v>
      </c>
      <c r="AU11" s="8">
        <v>0</v>
      </c>
      <c r="AV11" s="8">
        <v>0</v>
      </c>
      <c r="AW11" s="8">
        <f t="shared" si="5"/>
        <v>0</v>
      </c>
      <c r="AX11" s="29">
        <v>7</v>
      </c>
      <c r="AY11" s="29">
        <v>7</v>
      </c>
      <c r="AZ11" s="6" t="s">
        <v>140</v>
      </c>
      <c r="BA11" s="6" t="s">
        <v>73</v>
      </c>
    </row>
    <row r="12" spans="1:53">
      <c r="A12" s="7" t="s">
        <v>55</v>
      </c>
      <c r="B12" s="21" t="s">
        <v>104</v>
      </c>
      <c r="C12" s="21" t="s">
        <v>139</v>
      </c>
      <c r="D12" s="21" t="s">
        <v>301</v>
      </c>
      <c r="E12" s="6" t="s">
        <v>15</v>
      </c>
      <c r="F12" s="6" t="s">
        <v>58</v>
      </c>
      <c r="G12" s="10">
        <v>41730</v>
      </c>
      <c r="H12" s="8">
        <v>0.65</v>
      </c>
      <c r="I12" s="8">
        <f>0.65/365</f>
        <v>1.7808219178082193E-3</v>
      </c>
      <c r="J12" s="8">
        <v>0.09</v>
      </c>
      <c r="K12" s="8">
        <v>0.65</v>
      </c>
      <c r="L12" s="8">
        <f>0.65/365</f>
        <v>1.7808219178082193E-3</v>
      </c>
      <c r="M12" s="8">
        <v>0.09</v>
      </c>
      <c r="N12" s="8">
        <f t="shared" si="0"/>
        <v>0</v>
      </c>
      <c r="O12" s="8">
        <v>0</v>
      </c>
      <c r="P12" s="8">
        <v>0</v>
      </c>
      <c r="Q12" s="8">
        <v>0</v>
      </c>
      <c r="R12" s="8">
        <v>0</v>
      </c>
      <c r="S12" s="8">
        <v>0</v>
      </c>
      <c r="T12" s="8">
        <v>0</v>
      </c>
      <c r="U12" s="8">
        <f t="shared" si="1"/>
        <v>0</v>
      </c>
      <c r="V12" s="8">
        <v>0.65</v>
      </c>
      <c r="W12" s="8">
        <f>0.65/365</f>
        <v>1.7808219178082193E-3</v>
      </c>
      <c r="X12" s="8">
        <v>0.09</v>
      </c>
      <c r="Y12" s="8">
        <v>0.65</v>
      </c>
      <c r="Z12" s="8">
        <f>0.65/365</f>
        <v>1.7808219178082193E-3</v>
      </c>
      <c r="AA12" s="8">
        <v>0.09</v>
      </c>
      <c r="AB12" s="8">
        <f t="shared" si="2"/>
        <v>0</v>
      </c>
      <c r="AC12" s="8">
        <v>0</v>
      </c>
      <c r="AD12" s="8">
        <v>0</v>
      </c>
      <c r="AE12" s="8">
        <v>0</v>
      </c>
      <c r="AF12" s="8">
        <v>0</v>
      </c>
      <c r="AG12" s="8">
        <v>0</v>
      </c>
      <c r="AH12" s="8">
        <v>0</v>
      </c>
      <c r="AI12" s="8">
        <f t="shared" si="3"/>
        <v>0</v>
      </c>
      <c r="AJ12" s="8">
        <v>0</v>
      </c>
      <c r="AK12" s="8">
        <v>0</v>
      </c>
      <c r="AL12" s="8">
        <v>0</v>
      </c>
      <c r="AM12" s="8">
        <v>0</v>
      </c>
      <c r="AN12" s="8">
        <v>0</v>
      </c>
      <c r="AO12" s="8">
        <v>0</v>
      </c>
      <c r="AP12" s="8">
        <f t="shared" si="4"/>
        <v>0</v>
      </c>
      <c r="AQ12" s="8">
        <v>0</v>
      </c>
      <c r="AR12" s="8">
        <v>0</v>
      </c>
      <c r="AS12" s="8">
        <v>0</v>
      </c>
      <c r="AT12" s="8">
        <v>0</v>
      </c>
      <c r="AU12" s="8">
        <v>0</v>
      </c>
      <c r="AV12" s="8">
        <v>0</v>
      </c>
      <c r="AW12" s="8">
        <f t="shared" si="5"/>
        <v>0</v>
      </c>
      <c r="AX12" s="29">
        <v>20</v>
      </c>
      <c r="AY12" s="29">
        <v>20</v>
      </c>
      <c r="AZ12" s="6"/>
      <c r="BA12" s="6" t="s">
        <v>73</v>
      </c>
    </row>
    <row r="13" spans="1:53">
      <c r="A13" s="7" t="s">
        <v>55</v>
      </c>
      <c r="B13" s="14" t="s">
        <v>112</v>
      </c>
      <c r="C13" s="12" t="s">
        <v>143</v>
      </c>
      <c r="D13" s="17" t="s">
        <v>115</v>
      </c>
      <c r="E13" s="6" t="s">
        <v>15</v>
      </c>
      <c r="F13" s="6" t="s">
        <v>58</v>
      </c>
      <c r="G13" s="10">
        <v>41745</v>
      </c>
      <c r="H13" s="8">
        <v>0</v>
      </c>
      <c r="I13" s="8">
        <v>0</v>
      </c>
      <c r="J13" s="8">
        <v>0</v>
      </c>
      <c r="K13" s="8">
        <v>2.4300000000000002</v>
      </c>
      <c r="L13" s="8">
        <v>7.0000000000000001E-3</v>
      </c>
      <c r="M13" s="8">
        <v>0.32400000000000001</v>
      </c>
      <c r="N13" s="8">
        <f t="shared" si="0"/>
        <v>7.0000000000000001E-3</v>
      </c>
      <c r="O13" s="8">
        <v>0</v>
      </c>
      <c r="P13" s="8">
        <v>0</v>
      </c>
      <c r="Q13" s="8">
        <v>0</v>
      </c>
      <c r="R13" s="8">
        <v>0</v>
      </c>
      <c r="S13" s="8">
        <v>0</v>
      </c>
      <c r="T13" s="8">
        <v>0</v>
      </c>
      <c r="U13" s="8">
        <f t="shared" si="1"/>
        <v>0</v>
      </c>
      <c r="V13" s="8">
        <v>0</v>
      </c>
      <c r="W13" s="8">
        <v>0</v>
      </c>
      <c r="X13" s="8">
        <v>0</v>
      </c>
      <c r="Y13" s="8">
        <v>2.4</v>
      </c>
      <c r="Z13" s="8">
        <v>7.0000000000000001E-3</v>
      </c>
      <c r="AA13" s="8">
        <v>0.32</v>
      </c>
      <c r="AB13" s="8">
        <f t="shared" si="2"/>
        <v>7.0000000000000001E-3</v>
      </c>
      <c r="AC13" s="8">
        <v>0</v>
      </c>
      <c r="AD13" s="8">
        <v>0</v>
      </c>
      <c r="AE13" s="8">
        <v>0</v>
      </c>
      <c r="AF13" s="8">
        <v>0</v>
      </c>
      <c r="AG13" s="8">
        <v>0</v>
      </c>
      <c r="AH13" s="8">
        <v>0</v>
      </c>
      <c r="AI13" s="8">
        <f t="shared" si="3"/>
        <v>0</v>
      </c>
      <c r="AJ13" s="8">
        <v>0</v>
      </c>
      <c r="AK13" s="8">
        <v>0</v>
      </c>
      <c r="AL13" s="8">
        <v>0</v>
      </c>
      <c r="AM13" s="8">
        <v>0</v>
      </c>
      <c r="AN13" s="8">
        <v>0</v>
      </c>
      <c r="AO13" s="8">
        <v>0</v>
      </c>
      <c r="AP13" s="8">
        <f t="shared" si="4"/>
        <v>0</v>
      </c>
      <c r="AQ13" s="8">
        <v>0</v>
      </c>
      <c r="AR13" s="8">
        <v>0</v>
      </c>
      <c r="AS13" s="8">
        <v>0</v>
      </c>
      <c r="AT13" s="8">
        <v>0</v>
      </c>
      <c r="AU13" s="8">
        <v>0</v>
      </c>
      <c r="AV13" s="8">
        <v>0</v>
      </c>
      <c r="AW13" s="8">
        <f t="shared" si="5"/>
        <v>0</v>
      </c>
      <c r="AX13" s="29">
        <v>20</v>
      </c>
      <c r="AY13" s="29">
        <v>20</v>
      </c>
      <c r="AZ13" s="6"/>
      <c r="BA13" s="6" t="s">
        <v>73</v>
      </c>
    </row>
    <row r="14" spans="1:53">
      <c r="A14" s="7" t="s">
        <v>55</v>
      </c>
      <c r="B14" s="14" t="s">
        <v>114</v>
      </c>
      <c r="C14" s="12" t="s">
        <v>145</v>
      </c>
      <c r="D14" s="17" t="s">
        <v>117</v>
      </c>
      <c r="E14" s="6" t="s">
        <v>15</v>
      </c>
      <c r="F14" s="6" t="s">
        <v>92</v>
      </c>
      <c r="G14" s="10">
        <v>41750</v>
      </c>
      <c r="H14" s="8">
        <v>16.82</v>
      </c>
      <c r="I14" s="8">
        <v>4.5999999999999999E-2</v>
      </c>
      <c r="J14" s="8">
        <v>1.43</v>
      </c>
      <c r="K14" s="8">
        <v>16.82</v>
      </c>
      <c r="L14" s="8">
        <v>4.5999999999999999E-2</v>
      </c>
      <c r="M14" s="8">
        <v>1.48</v>
      </c>
      <c r="N14" s="8">
        <f t="shared" si="0"/>
        <v>0</v>
      </c>
      <c r="O14" s="8">
        <v>0</v>
      </c>
      <c r="P14" s="8">
        <v>0</v>
      </c>
      <c r="Q14" s="8">
        <v>0</v>
      </c>
      <c r="R14" s="8">
        <v>0</v>
      </c>
      <c r="S14" s="8">
        <v>0</v>
      </c>
      <c r="T14" s="8">
        <v>0</v>
      </c>
      <c r="U14" s="8">
        <f t="shared" si="1"/>
        <v>0</v>
      </c>
      <c r="V14" s="8">
        <v>16.82</v>
      </c>
      <c r="W14" s="8">
        <v>4.5999999999999999E-2</v>
      </c>
      <c r="X14" s="8">
        <v>1.43</v>
      </c>
      <c r="Y14" s="8">
        <v>16.82</v>
      </c>
      <c r="Z14" s="8">
        <v>4.5999999999999999E-2</v>
      </c>
      <c r="AA14" s="8">
        <v>1.48</v>
      </c>
      <c r="AB14" s="8">
        <f t="shared" si="2"/>
        <v>0</v>
      </c>
      <c r="AC14" s="8">
        <v>0</v>
      </c>
      <c r="AD14" s="8">
        <v>0</v>
      </c>
      <c r="AE14" s="8">
        <v>0</v>
      </c>
      <c r="AF14" s="8">
        <v>0</v>
      </c>
      <c r="AG14" s="8">
        <v>0</v>
      </c>
      <c r="AH14" s="8">
        <v>0</v>
      </c>
      <c r="AI14" s="8">
        <f t="shared" si="3"/>
        <v>0</v>
      </c>
      <c r="AJ14" s="8">
        <v>0</v>
      </c>
      <c r="AK14" s="8">
        <v>0</v>
      </c>
      <c r="AL14" s="8">
        <v>0</v>
      </c>
      <c r="AM14" s="8">
        <v>0</v>
      </c>
      <c r="AN14" s="8">
        <v>0</v>
      </c>
      <c r="AO14" s="8">
        <v>0</v>
      </c>
      <c r="AP14" s="8">
        <f t="shared" si="4"/>
        <v>0</v>
      </c>
      <c r="AQ14" s="8">
        <v>0</v>
      </c>
      <c r="AR14" s="8">
        <v>0</v>
      </c>
      <c r="AS14" s="8">
        <v>0</v>
      </c>
      <c r="AT14" s="8">
        <v>0</v>
      </c>
      <c r="AU14" s="8">
        <v>0</v>
      </c>
      <c r="AV14" s="8">
        <v>0</v>
      </c>
      <c r="AW14" s="8">
        <f t="shared" si="5"/>
        <v>0</v>
      </c>
      <c r="AX14" s="29">
        <v>20</v>
      </c>
      <c r="AY14" s="29">
        <v>20</v>
      </c>
      <c r="AZ14" s="6"/>
      <c r="BA14" s="6" t="s">
        <v>73</v>
      </c>
    </row>
    <row r="15" spans="1:53">
      <c r="A15" s="7" t="s">
        <v>55</v>
      </c>
      <c r="B15" s="7" t="s">
        <v>80</v>
      </c>
      <c r="C15" s="7" t="s">
        <v>81</v>
      </c>
      <c r="D15" s="6" t="s">
        <v>84</v>
      </c>
      <c r="E15" s="6" t="s">
        <v>86</v>
      </c>
      <c r="F15" s="6" t="s">
        <v>56</v>
      </c>
      <c r="G15" s="10">
        <v>41757</v>
      </c>
      <c r="H15" s="8">
        <v>0</v>
      </c>
      <c r="I15" s="8">
        <v>0</v>
      </c>
      <c r="J15" s="8">
        <v>0</v>
      </c>
      <c r="K15" s="8">
        <v>13688</v>
      </c>
      <c r="L15" s="8">
        <v>37.5</v>
      </c>
      <c r="M15" s="8">
        <v>1140</v>
      </c>
      <c r="N15" s="8">
        <f t="shared" si="0"/>
        <v>37.5</v>
      </c>
      <c r="O15" s="8">
        <v>0</v>
      </c>
      <c r="P15" s="8">
        <v>0</v>
      </c>
      <c r="Q15" s="8">
        <v>0</v>
      </c>
      <c r="R15" s="8">
        <v>0</v>
      </c>
      <c r="S15" s="8">
        <v>0</v>
      </c>
      <c r="T15" s="8">
        <v>0</v>
      </c>
      <c r="U15" s="8">
        <f t="shared" si="1"/>
        <v>0</v>
      </c>
      <c r="V15" s="8">
        <v>0</v>
      </c>
      <c r="W15" s="8">
        <v>0</v>
      </c>
      <c r="X15" s="8">
        <v>0</v>
      </c>
      <c r="Y15" s="8">
        <v>0</v>
      </c>
      <c r="Z15" s="8">
        <v>0</v>
      </c>
      <c r="AA15" s="8">
        <v>0</v>
      </c>
      <c r="AB15" s="8">
        <f t="shared" si="2"/>
        <v>0</v>
      </c>
      <c r="AC15" s="8">
        <v>0</v>
      </c>
      <c r="AD15" s="8">
        <v>0</v>
      </c>
      <c r="AE15" s="8">
        <v>0</v>
      </c>
      <c r="AF15" s="8">
        <v>13688</v>
      </c>
      <c r="AG15" s="8">
        <v>37.5</v>
      </c>
      <c r="AH15" s="8">
        <v>1140</v>
      </c>
      <c r="AI15" s="8">
        <f t="shared" si="3"/>
        <v>37.5</v>
      </c>
      <c r="AJ15" s="8">
        <v>0</v>
      </c>
      <c r="AK15" s="8">
        <v>0</v>
      </c>
      <c r="AL15" s="8">
        <v>0</v>
      </c>
      <c r="AM15" s="8">
        <v>0</v>
      </c>
      <c r="AN15" s="8">
        <v>0</v>
      </c>
      <c r="AO15" s="8">
        <v>0</v>
      </c>
      <c r="AP15" s="8">
        <f t="shared" si="4"/>
        <v>0</v>
      </c>
      <c r="AQ15" s="8">
        <v>0</v>
      </c>
      <c r="AR15" s="8">
        <v>0</v>
      </c>
      <c r="AS15" s="8">
        <v>0</v>
      </c>
      <c r="AT15" s="8">
        <v>0</v>
      </c>
      <c r="AU15" s="8">
        <v>0</v>
      </c>
      <c r="AV15" s="8">
        <v>0</v>
      </c>
      <c r="AW15" s="8">
        <f t="shared" si="5"/>
        <v>0</v>
      </c>
      <c r="AX15" s="30">
        <v>40</v>
      </c>
      <c r="AY15" s="30">
        <v>40</v>
      </c>
      <c r="AZ15" s="6"/>
      <c r="BA15" s="6" t="s">
        <v>73</v>
      </c>
    </row>
    <row r="16" spans="1:53" ht="26.25">
      <c r="A16" s="7" t="s">
        <v>55</v>
      </c>
      <c r="B16" s="23" t="s">
        <v>119</v>
      </c>
      <c r="C16" s="23" t="s">
        <v>146</v>
      </c>
      <c r="D16" s="28" t="s">
        <v>276</v>
      </c>
      <c r="E16" s="6" t="s">
        <v>15</v>
      </c>
      <c r="F16" s="6" t="s">
        <v>58</v>
      </c>
      <c r="G16" s="10">
        <v>41767</v>
      </c>
      <c r="H16" s="8">
        <v>0</v>
      </c>
      <c r="I16" s="8">
        <v>0</v>
      </c>
      <c r="J16" s="8">
        <v>0</v>
      </c>
      <c r="K16" s="8">
        <v>2.5</v>
      </c>
      <c r="L16" s="8">
        <f>2.5/365</f>
        <v>6.8493150684931503E-3</v>
      </c>
      <c r="M16" s="8">
        <v>0.33</v>
      </c>
      <c r="N16" s="8">
        <f t="shared" si="0"/>
        <v>6.8493150684931503E-3</v>
      </c>
      <c r="O16" s="8">
        <v>0</v>
      </c>
      <c r="P16" s="8">
        <v>0</v>
      </c>
      <c r="Q16" s="8">
        <v>0</v>
      </c>
      <c r="R16" s="8">
        <v>0</v>
      </c>
      <c r="S16" s="8">
        <v>0</v>
      </c>
      <c r="T16" s="8">
        <v>0</v>
      </c>
      <c r="U16" s="8">
        <f t="shared" si="1"/>
        <v>0</v>
      </c>
      <c r="V16" s="8">
        <v>0</v>
      </c>
      <c r="W16" s="8">
        <v>0</v>
      </c>
      <c r="X16" s="8">
        <v>0</v>
      </c>
      <c r="Y16" s="8">
        <v>2.5</v>
      </c>
      <c r="Z16" s="8">
        <f>2.5/365</f>
        <v>6.8493150684931503E-3</v>
      </c>
      <c r="AA16" s="8">
        <v>0.33</v>
      </c>
      <c r="AB16" s="8">
        <f t="shared" si="2"/>
        <v>6.8493150684931503E-3</v>
      </c>
      <c r="AC16" s="8">
        <v>0</v>
      </c>
      <c r="AD16" s="8">
        <v>0</v>
      </c>
      <c r="AE16" s="8">
        <v>0</v>
      </c>
      <c r="AF16" s="8">
        <v>0</v>
      </c>
      <c r="AG16" s="8">
        <v>0</v>
      </c>
      <c r="AH16" s="8">
        <v>0</v>
      </c>
      <c r="AI16" s="8">
        <f t="shared" si="3"/>
        <v>0</v>
      </c>
      <c r="AJ16" s="8">
        <v>0</v>
      </c>
      <c r="AK16" s="8">
        <v>0</v>
      </c>
      <c r="AL16" s="8">
        <v>0</v>
      </c>
      <c r="AM16" s="8">
        <v>0</v>
      </c>
      <c r="AN16" s="8">
        <v>0</v>
      </c>
      <c r="AO16" s="8">
        <v>0</v>
      </c>
      <c r="AP16" s="8">
        <f t="shared" si="4"/>
        <v>0</v>
      </c>
      <c r="AQ16" s="8">
        <v>0</v>
      </c>
      <c r="AR16" s="8">
        <v>0</v>
      </c>
      <c r="AS16" s="8">
        <v>0</v>
      </c>
      <c r="AT16" s="8">
        <v>0</v>
      </c>
      <c r="AU16" s="8">
        <v>0</v>
      </c>
      <c r="AV16" s="8">
        <v>0</v>
      </c>
      <c r="AW16" s="8">
        <f t="shared" si="5"/>
        <v>0</v>
      </c>
      <c r="AX16" s="29">
        <v>20</v>
      </c>
      <c r="AY16" s="29">
        <v>20</v>
      </c>
      <c r="AZ16" s="6"/>
      <c r="BA16" s="6" t="s">
        <v>73</v>
      </c>
    </row>
    <row r="17" spans="1:53">
      <c r="A17" s="7" t="s">
        <v>55</v>
      </c>
      <c r="B17" s="14" t="s">
        <v>108</v>
      </c>
      <c r="C17" s="24" t="s">
        <v>142</v>
      </c>
      <c r="D17" s="17" t="s">
        <v>110</v>
      </c>
      <c r="E17" s="6" t="s">
        <v>15</v>
      </c>
      <c r="F17" s="6" t="s">
        <v>57</v>
      </c>
      <c r="G17" s="10">
        <v>41771</v>
      </c>
      <c r="H17" s="8">
        <v>698.8</v>
      </c>
      <c r="I17" s="8">
        <f>698.8/365</f>
        <v>1.9145205479452054</v>
      </c>
      <c r="J17" s="8">
        <v>92.99</v>
      </c>
      <c r="K17" s="8">
        <v>697.82</v>
      </c>
      <c r="L17" s="8">
        <f>697.82/365</f>
        <v>1.9118356164383563</v>
      </c>
      <c r="M17" s="8">
        <v>92.79</v>
      </c>
      <c r="N17" s="8">
        <f t="shared" si="0"/>
        <v>-2.6849315068491197E-3</v>
      </c>
      <c r="O17" s="8">
        <v>0</v>
      </c>
      <c r="P17" s="8">
        <v>0</v>
      </c>
      <c r="Q17" s="8">
        <v>0</v>
      </c>
      <c r="R17" s="8">
        <v>0</v>
      </c>
      <c r="S17" s="8">
        <v>0</v>
      </c>
      <c r="T17" s="8">
        <v>0</v>
      </c>
      <c r="U17" s="8">
        <f t="shared" si="1"/>
        <v>0</v>
      </c>
      <c r="V17" s="8">
        <v>698.8</v>
      </c>
      <c r="W17" s="8">
        <f>698.8/365</f>
        <v>1.9145205479452054</v>
      </c>
      <c r="X17" s="8">
        <v>92.99</v>
      </c>
      <c r="Y17" s="8">
        <v>697.82</v>
      </c>
      <c r="Z17" s="8">
        <f>697.82/365</f>
        <v>1.9118356164383563</v>
      </c>
      <c r="AA17" s="8">
        <v>92.79</v>
      </c>
      <c r="AB17" s="8">
        <f t="shared" si="2"/>
        <v>-2.6849315068491197E-3</v>
      </c>
      <c r="AC17" s="8">
        <v>0</v>
      </c>
      <c r="AD17" s="8">
        <v>0</v>
      </c>
      <c r="AE17" s="8">
        <v>0</v>
      </c>
      <c r="AF17" s="8">
        <v>0</v>
      </c>
      <c r="AG17" s="8">
        <v>0</v>
      </c>
      <c r="AH17" s="8">
        <v>0</v>
      </c>
      <c r="AI17" s="8">
        <f t="shared" si="3"/>
        <v>0</v>
      </c>
      <c r="AJ17" s="8">
        <v>0</v>
      </c>
      <c r="AK17" s="8">
        <v>0</v>
      </c>
      <c r="AL17" s="8">
        <v>0</v>
      </c>
      <c r="AM17" s="8">
        <v>0</v>
      </c>
      <c r="AN17" s="8">
        <v>0</v>
      </c>
      <c r="AO17" s="8">
        <v>0</v>
      </c>
      <c r="AP17" s="8">
        <f t="shared" si="4"/>
        <v>0</v>
      </c>
      <c r="AQ17" s="8">
        <v>0</v>
      </c>
      <c r="AR17" s="8">
        <v>0</v>
      </c>
      <c r="AS17" s="8">
        <v>0</v>
      </c>
      <c r="AT17" s="8">
        <v>0</v>
      </c>
      <c r="AU17" s="8">
        <v>0</v>
      </c>
      <c r="AV17" s="8">
        <v>0</v>
      </c>
      <c r="AW17" s="8">
        <f t="shared" si="5"/>
        <v>0</v>
      </c>
      <c r="AX17" s="29">
        <v>20</v>
      </c>
      <c r="AY17" s="29">
        <v>20</v>
      </c>
      <c r="AZ17" s="6"/>
      <c r="BA17" s="6" t="s">
        <v>73</v>
      </c>
    </row>
    <row r="18" spans="1:53">
      <c r="A18" s="7" t="s">
        <v>55</v>
      </c>
      <c r="B18" s="14" t="s">
        <v>113</v>
      </c>
      <c r="C18" s="12" t="s">
        <v>144</v>
      </c>
      <c r="D18" s="17" t="s">
        <v>116</v>
      </c>
      <c r="E18" s="6" t="s">
        <v>15</v>
      </c>
      <c r="F18" s="6" t="s">
        <v>60</v>
      </c>
      <c r="G18" s="10">
        <v>41774</v>
      </c>
      <c r="H18" s="8">
        <v>10.95</v>
      </c>
      <c r="I18" s="8">
        <f>10.95/365</f>
        <v>0.03</v>
      </c>
      <c r="J18" s="8">
        <v>0.91200000000000003</v>
      </c>
      <c r="K18" s="8">
        <v>10.95</v>
      </c>
      <c r="L18" s="8">
        <v>0.03</v>
      </c>
      <c r="M18" s="8">
        <v>0.91200000000000003</v>
      </c>
      <c r="N18" s="8">
        <f t="shared" si="0"/>
        <v>0</v>
      </c>
      <c r="O18" s="8">
        <v>0</v>
      </c>
      <c r="P18" s="8">
        <v>0</v>
      </c>
      <c r="Q18" s="8">
        <v>0</v>
      </c>
      <c r="R18" s="8">
        <v>0</v>
      </c>
      <c r="S18" s="8">
        <v>0</v>
      </c>
      <c r="T18" s="8">
        <v>0</v>
      </c>
      <c r="U18" s="8">
        <f t="shared" si="1"/>
        <v>0</v>
      </c>
      <c r="V18" s="8">
        <v>10.95</v>
      </c>
      <c r="W18" s="8">
        <v>0.03</v>
      </c>
      <c r="X18" s="8">
        <v>0.91200000000000003</v>
      </c>
      <c r="Y18" s="8">
        <v>10.95</v>
      </c>
      <c r="Z18" s="8">
        <v>0.03</v>
      </c>
      <c r="AA18" s="8">
        <v>0.91200000000000003</v>
      </c>
      <c r="AB18" s="8">
        <f t="shared" si="2"/>
        <v>0</v>
      </c>
      <c r="AC18" s="8">
        <v>0</v>
      </c>
      <c r="AD18" s="8">
        <v>0</v>
      </c>
      <c r="AE18" s="8">
        <v>0</v>
      </c>
      <c r="AF18" s="8">
        <v>0</v>
      </c>
      <c r="AG18" s="8">
        <v>0</v>
      </c>
      <c r="AH18" s="8">
        <v>0</v>
      </c>
      <c r="AI18" s="8">
        <f t="shared" si="3"/>
        <v>0</v>
      </c>
      <c r="AJ18" s="8">
        <v>0</v>
      </c>
      <c r="AK18" s="8">
        <v>0</v>
      </c>
      <c r="AL18" s="8">
        <v>0</v>
      </c>
      <c r="AM18" s="8">
        <v>0</v>
      </c>
      <c r="AN18" s="8">
        <v>0</v>
      </c>
      <c r="AO18" s="8">
        <v>0</v>
      </c>
      <c r="AP18" s="8">
        <f t="shared" si="4"/>
        <v>0</v>
      </c>
      <c r="AQ18" s="8">
        <v>0</v>
      </c>
      <c r="AR18" s="8">
        <v>0</v>
      </c>
      <c r="AS18" s="8">
        <v>0</v>
      </c>
      <c r="AT18" s="8">
        <v>0</v>
      </c>
      <c r="AU18" s="8">
        <v>0</v>
      </c>
      <c r="AV18" s="8">
        <v>0</v>
      </c>
      <c r="AW18" s="8">
        <f t="shared" si="5"/>
        <v>0</v>
      </c>
      <c r="AX18" s="29">
        <v>20</v>
      </c>
      <c r="AY18" s="29">
        <v>20</v>
      </c>
      <c r="AZ18" s="6"/>
      <c r="BA18" s="6" t="s">
        <v>73</v>
      </c>
    </row>
    <row r="19" spans="1:53">
      <c r="A19" s="7" t="s">
        <v>55</v>
      </c>
      <c r="B19" s="12" t="s">
        <v>122</v>
      </c>
      <c r="C19" s="12" t="s">
        <v>149</v>
      </c>
      <c r="D19" s="12" t="s">
        <v>125</v>
      </c>
      <c r="E19" s="6" t="s">
        <v>15</v>
      </c>
      <c r="F19" s="6" t="s">
        <v>59</v>
      </c>
      <c r="G19" s="10">
        <v>41787</v>
      </c>
      <c r="H19" s="8">
        <v>0</v>
      </c>
      <c r="I19" s="8">
        <v>0</v>
      </c>
      <c r="J19" s="8">
        <v>0</v>
      </c>
      <c r="K19" s="8">
        <v>17</v>
      </c>
      <c r="L19" s="8">
        <v>4.6575342465753428E-2</v>
      </c>
      <c r="M19" s="8">
        <v>2</v>
      </c>
      <c r="N19" s="8">
        <f t="shared" si="0"/>
        <v>4.6575342465753428E-2</v>
      </c>
      <c r="O19" s="8">
        <v>0</v>
      </c>
      <c r="P19" s="8">
        <v>0</v>
      </c>
      <c r="Q19" s="8">
        <v>0</v>
      </c>
      <c r="R19" s="8">
        <v>0</v>
      </c>
      <c r="S19" s="8">
        <v>0</v>
      </c>
      <c r="T19" s="8">
        <v>0</v>
      </c>
      <c r="U19" s="8">
        <f t="shared" si="1"/>
        <v>0</v>
      </c>
      <c r="V19" s="8">
        <v>0</v>
      </c>
      <c r="W19" s="8">
        <v>0</v>
      </c>
      <c r="X19" s="8">
        <v>0</v>
      </c>
      <c r="Y19" s="8">
        <v>17</v>
      </c>
      <c r="Z19" s="8">
        <v>4.6575342465753428E-2</v>
      </c>
      <c r="AA19" s="8">
        <v>2</v>
      </c>
      <c r="AB19" s="8">
        <f t="shared" si="2"/>
        <v>4.6575342465753428E-2</v>
      </c>
      <c r="AC19" s="8">
        <v>0</v>
      </c>
      <c r="AD19" s="8">
        <v>0</v>
      </c>
      <c r="AE19" s="8">
        <v>0</v>
      </c>
      <c r="AF19" s="8">
        <v>0</v>
      </c>
      <c r="AG19" s="8">
        <v>0</v>
      </c>
      <c r="AH19" s="8">
        <v>0</v>
      </c>
      <c r="AI19" s="8">
        <f t="shared" si="3"/>
        <v>0</v>
      </c>
      <c r="AJ19" s="8">
        <v>0</v>
      </c>
      <c r="AK19" s="8">
        <v>0</v>
      </c>
      <c r="AL19" s="8">
        <v>0</v>
      </c>
      <c r="AM19" s="8">
        <v>0</v>
      </c>
      <c r="AN19" s="8">
        <v>0</v>
      </c>
      <c r="AO19" s="8">
        <v>0</v>
      </c>
      <c r="AP19" s="8">
        <f t="shared" si="4"/>
        <v>0</v>
      </c>
      <c r="AQ19" s="8">
        <v>0</v>
      </c>
      <c r="AR19" s="8">
        <v>0</v>
      </c>
      <c r="AS19" s="8">
        <v>0</v>
      </c>
      <c r="AT19" s="8">
        <v>0</v>
      </c>
      <c r="AU19" s="8">
        <v>0</v>
      </c>
      <c r="AV19" s="8">
        <v>0</v>
      </c>
      <c r="AW19" s="8">
        <f t="shared" si="5"/>
        <v>0</v>
      </c>
      <c r="AX19" s="29">
        <v>20</v>
      </c>
      <c r="AY19" s="29">
        <v>20</v>
      </c>
      <c r="AZ19" s="6"/>
      <c r="BA19" s="6" t="s">
        <v>73</v>
      </c>
    </row>
    <row r="20" spans="1:53" ht="30">
      <c r="A20" s="7" t="s">
        <v>55</v>
      </c>
      <c r="B20" s="14" t="s">
        <v>95</v>
      </c>
      <c r="C20" s="24" t="s">
        <v>135</v>
      </c>
      <c r="D20" s="17" t="s">
        <v>99</v>
      </c>
      <c r="E20" s="6" t="s">
        <v>15</v>
      </c>
      <c r="F20" s="6" t="s">
        <v>58</v>
      </c>
      <c r="G20" s="10">
        <v>41792</v>
      </c>
      <c r="H20" s="8">
        <v>298</v>
      </c>
      <c r="I20" s="8">
        <v>0.81</v>
      </c>
      <c r="J20" s="8">
        <v>38.799999999999997</v>
      </c>
      <c r="K20" s="8">
        <v>298</v>
      </c>
      <c r="L20" s="8">
        <v>0.81</v>
      </c>
      <c r="M20" s="8">
        <v>38.799999999999997</v>
      </c>
      <c r="N20" s="8">
        <f t="shared" si="0"/>
        <v>0</v>
      </c>
      <c r="O20" s="8">
        <v>0</v>
      </c>
      <c r="P20" s="8">
        <v>0</v>
      </c>
      <c r="Q20" s="8">
        <v>0</v>
      </c>
      <c r="R20" s="8">
        <v>0</v>
      </c>
      <c r="S20" s="8">
        <v>0</v>
      </c>
      <c r="T20" s="8">
        <v>0</v>
      </c>
      <c r="U20" s="8">
        <f t="shared" si="1"/>
        <v>0</v>
      </c>
      <c r="V20" s="8">
        <v>298</v>
      </c>
      <c r="W20" s="8">
        <v>0.81</v>
      </c>
      <c r="X20" s="8">
        <v>38.799999999999997</v>
      </c>
      <c r="Y20" s="8">
        <v>298</v>
      </c>
      <c r="Z20" s="8">
        <v>0.81</v>
      </c>
      <c r="AA20" s="8">
        <v>38.799999999999997</v>
      </c>
      <c r="AB20" s="8">
        <f t="shared" si="2"/>
        <v>0</v>
      </c>
      <c r="AC20" s="8">
        <v>0</v>
      </c>
      <c r="AD20" s="8">
        <v>0</v>
      </c>
      <c r="AE20" s="8">
        <v>0</v>
      </c>
      <c r="AF20" s="8">
        <v>0</v>
      </c>
      <c r="AG20" s="8">
        <v>0</v>
      </c>
      <c r="AH20" s="8">
        <v>0</v>
      </c>
      <c r="AI20" s="8">
        <f t="shared" si="3"/>
        <v>0</v>
      </c>
      <c r="AJ20" s="8">
        <v>0</v>
      </c>
      <c r="AK20" s="8">
        <v>0</v>
      </c>
      <c r="AL20" s="8">
        <v>0</v>
      </c>
      <c r="AM20" s="8">
        <v>0</v>
      </c>
      <c r="AN20" s="8">
        <v>0</v>
      </c>
      <c r="AO20" s="8">
        <v>0</v>
      </c>
      <c r="AP20" s="8">
        <f t="shared" si="4"/>
        <v>0</v>
      </c>
      <c r="AQ20" s="8">
        <v>0</v>
      </c>
      <c r="AR20" s="8">
        <v>0</v>
      </c>
      <c r="AS20" s="8">
        <v>0</v>
      </c>
      <c r="AT20" s="8">
        <v>0</v>
      </c>
      <c r="AU20" s="8">
        <v>0</v>
      </c>
      <c r="AV20" s="8">
        <v>0</v>
      </c>
      <c r="AW20" s="8">
        <f t="shared" si="5"/>
        <v>0</v>
      </c>
      <c r="AX20" s="29">
        <v>20</v>
      </c>
      <c r="AY20" s="29">
        <v>20</v>
      </c>
      <c r="AZ20" s="6"/>
      <c r="BA20" s="6" t="s">
        <v>73</v>
      </c>
    </row>
    <row r="21" spans="1:53">
      <c r="A21" s="7" t="s">
        <v>55</v>
      </c>
      <c r="B21" s="34" t="s">
        <v>120</v>
      </c>
      <c r="C21" s="12" t="s">
        <v>147</v>
      </c>
      <c r="D21" s="12" t="s">
        <v>123</v>
      </c>
      <c r="E21" s="6" t="s">
        <v>15</v>
      </c>
      <c r="F21" s="6" t="s">
        <v>58</v>
      </c>
      <c r="G21" s="10">
        <v>41807</v>
      </c>
      <c r="H21" s="8">
        <v>0</v>
      </c>
      <c r="I21" s="8">
        <v>0</v>
      </c>
      <c r="J21" s="8">
        <v>0</v>
      </c>
      <c r="K21" s="8">
        <v>6.18</v>
      </c>
      <c r="L21" s="8">
        <f>6.18/365</f>
        <v>1.6931506849315069E-2</v>
      </c>
      <c r="M21" s="8">
        <v>0.8</v>
      </c>
      <c r="N21" s="8">
        <f t="shared" si="0"/>
        <v>1.6931506849315069E-2</v>
      </c>
      <c r="O21" s="8">
        <v>0</v>
      </c>
      <c r="P21" s="8">
        <v>0</v>
      </c>
      <c r="Q21" s="8">
        <v>0</v>
      </c>
      <c r="R21" s="8">
        <v>0</v>
      </c>
      <c r="S21" s="8">
        <v>0</v>
      </c>
      <c r="T21" s="8">
        <v>0</v>
      </c>
      <c r="U21" s="8">
        <f t="shared" si="1"/>
        <v>0</v>
      </c>
      <c r="V21" s="8">
        <v>0</v>
      </c>
      <c r="W21" s="8">
        <v>0</v>
      </c>
      <c r="X21" s="8">
        <v>0</v>
      </c>
      <c r="Y21" s="8">
        <v>6.18</v>
      </c>
      <c r="Z21" s="8">
        <f>6.18/365</f>
        <v>1.6931506849315069E-2</v>
      </c>
      <c r="AA21" s="8">
        <v>0.8</v>
      </c>
      <c r="AB21" s="8">
        <f t="shared" si="2"/>
        <v>1.6931506849315069E-2</v>
      </c>
      <c r="AC21" s="8">
        <v>0</v>
      </c>
      <c r="AD21" s="8">
        <v>0</v>
      </c>
      <c r="AE21" s="8">
        <v>0</v>
      </c>
      <c r="AF21" s="8">
        <v>0</v>
      </c>
      <c r="AG21" s="8">
        <v>0</v>
      </c>
      <c r="AH21" s="8">
        <v>0</v>
      </c>
      <c r="AI21" s="8">
        <f t="shared" si="3"/>
        <v>0</v>
      </c>
      <c r="AJ21" s="8">
        <v>0</v>
      </c>
      <c r="AK21" s="8">
        <v>0</v>
      </c>
      <c r="AL21" s="8">
        <v>0</v>
      </c>
      <c r="AM21" s="8">
        <v>0</v>
      </c>
      <c r="AN21" s="8">
        <v>0</v>
      </c>
      <c r="AO21" s="8">
        <v>0</v>
      </c>
      <c r="AP21" s="8">
        <f t="shared" si="4"/>
        <v>0</v>
      </c>
      <c r="AQ21" s="8">
        <v>0</v>
      </c>
      <c r="AR21" s="8">
        <v>0</v>
      </c>
      <c r="AS21" s="8">
        <v>0</v>
      </c>
      <c r="AT21" s="8">
        <v>0</v>
      </c>
      <c r="AU21" s="8">
        <v>0</v>
      </c>
      <c r="AV21" s="8">
        <v>0</v>
      </c>
      <c r="AW21" s="8">
        <f t="shared" si="5"/>
        <v>0</v>
      </c>
      <c r="AX21" s="29">
        <v>20</v>
      </c>
      <c r="AY21" s="29">
        <v>20</v>
      </c>
      <c r="AZ21" s="6"/>
      <c r="BA21" s="6" t="s">
        <v>73</v>
      </c>
    </row>
    <row r="22" spans="1:53">
      <c r="A22" s="7" t="s">
        <v>55</v>
      </c>
      <c r="B22" s="20" t="s">
        <v>152</v>
      </c>
      <c r="C22" s="12" t="s">
        <v>158</v>
      </c>
      <c r="D22" s="20" t="s">
        <v>154</v>
      </c>
      <c r="E22" s="6" t="s">
        <v>15</v>
      </c>
      <c r="F22" s="6" t="s">
        <v>58</v>
      </c>
      <c r="G22" s="10">
        <v>41808</v>
      </c>
      <c r="H22" s="8">
        <v>1.2</v>
      </c>
      <c r="I22" s="8">
        <f>1.2/365</f>
        <v>3.2876712328767121E-3</v>
      </c>
      <c r="J22" s="8">
        <v>0.1</v>
      </c>
      <c r="K22" s="8">
        <v>2.0699999999999998</v>
      </c>
      <c r="L22" s="8">
        <f>2.07/365</f>
        <v>5.6712328767123286E-3</v>
      </c>
      <c r="M22" s="8">
        <v>0.27</v>
      </c>
      <c r="N22" s="8">
        <f t="shared" si="0"/>
        <v>2.3835616438356165E-3</v>
      </c>
      <c r="O22" s="8">
        <v>0</v>
      </c>
      <c r="P22" s="8">
        <v>0</v>
      </c>
      <c r="Q22" s="8">
        <v>0</v>
      </c>
      <c r="R22" s="8">
        <v>0</v>
      </c>
      <c r="S22" s="8">
        <v>0</v>
      </c>
      <c r="T22" s="8">
        <v>0</v>
      </c>
      <c r="U22" s="8">
        <f t="shared" si="1"/>
        <v>0</v>
      </c>
      <c r="V22" s="8">
        <v>1.2</v>
      </c>
      <c r="W22" s="8">
        <f>1.2/365</f>
        <v>3.2876712328767121E-3</v>
      </c>
      <c r="X22" s="8">
        <v>0.1</v>
      </c>
      <c r="Y22" s="8">
        <v>2.0699999999999998</v>
      </c>
      <c r="Z22" s="8">
        <f>2.07/365</f>
        <v>5.6712328767123286E-3</v>
      </c>
      <c r="AA22" s="8">
        <v>0.27</v>
      </c>
      <c r="AB22" s="8">
        <f t="shared" si="2"/>
        <v>2.3835616438356165E-3</v>
      </c>
      <c r="AC22" s="8">
        <v>0</v>
      </c>
      <c r="AD22" s="8">
        <v>0</v>
      </c>
      <c r="AE22" s="8">
        <v>0</v>
      </c>
      <c r="AF22" s="8">
        <v>0</v>
      </c>
      <c r="AG22" s="8">
        <v>0</v>
      </c>
      <c r="AH22" s="8">
        <v>0</v>
      </c>
      <c r="AI22" s="8">
        <f t="shared" si="3"/>
        <v>0</v>
      </c>
      <c r="AJ22" s="8">
        <v>0</v>
      </c>
      <c r="AK22" s="8">
        <v>0</v>
      </c>
      <c r="AL22" s="8">
        <v>0</v>
      </c>
      <c r="AM22" s="8">
        <v>0</v>
      </c>
      <c r="AN22" s="8">
        <v>0</v>
      </c>
      <c r="AO22" s="8">
        <v>0</v>
      </c>
      <c r="AP22" s="8">
        <f t="shared" si="4"/>
        <v>0</v>
      </c>
      <c r="AQ22" s="8">
        <v>0</v>
      </c>
      <c r="AR22" s="8">
        <v>0</v>
      </c>
      <c r="AS22" s="8">
        <v>0</v>
      </c>
      <c r="AT22" s="8">
        <v>0</v>
      </c>
      <c r="AU22" s="8">
        <v>0</v>
      </c>
      <c r="AV22" s="8">
        <v>0</v>
      </c>
      <c r="AW22" s="8">
        <f t="shared" si="5"/>
        <v>0</v>
      </c>
      <c r="AX22" s="29">
        <v>20</v>
      </c>
      <c r="AY22" s="29">
        <v>20</v>
      </c>
      <c r="AZ22" s="6"/>
      <c r="BA22" s="6" t="s">
        <v>73</v>
      </c>
    </row>
    <row r="23" spans="1:53" ht="26.25">
      <c r="A23" s="7" t="s">
        <v>55</v>
      </c>
      <c r="B23" s="23" t="s">
        <v>121</v>
      </c>
      <c r="C23" s="23" t="s">
        <v>148</v>
      </c>
      <c r="D23" s="28" t="s">
        <v>366</v>
      </c>
      <c r="E23" s="6" t="s">
        <v>15</v>
      </c>
      <c r="F23" s="6" t="s">
        <v>59</v>
      </c>
      <c r="G23" s="10">
        <v>41814</v>
      </c>
      <c r="H23" s="8">
        <v>52.82</v>
      </c>
      <c r="I23" s="8">
        <f>52.82/365</f>
        <v>0.14471232876712328</v>
      </c>
      <c r="J23" s="8">
        <v>6.99</v>
      </c>
      <c r="K23" s="8">
        <v>27.51</v>
      </c>
      <c r="L23" s="8">
        <f>27.51/365</f>
        <v>7.5369863013698635E-2</v>
      </c>
      <c r="M23" s="8">
        <v>3.64</v>
      </c>
      <c r="N23" s="8">
        <f t="shared" si="0"/>
        <v>-6.9342465753424648E-2</v>
      </c>
      <c r="O23" s="8">
        <v>0</v>
      </c>
      <c r="P23" s="8">
        <v>0</v>
      </c>
      <c r="Q23" s="8">
        <v>0</v>
      </c>
      <c r="R23" s="8">
        <v>0</v>
      </c>
      <c r="S23" s="8">
        <v>0</v>
      </c>
      <c r="T23" s="8">
        <v>0</v>
      </c>
      <c r="U23" s="8">
        <f t="shared" si="1"/>
        <v>0</v>
      </c>
      <c r="V23" s="8">
        <v>52.82</v>
      </c>
      <c r="W23" s="8">
        <f>52.82/365</f>
        <v>0.14471232876712328</v>
      </c>
      <c r="X23" s="8">
        <v>6.99</v>
      </c>
      <c r="Y23" s="8">
        <v>27.51</v>
      </c>
      <c r="Z23" s="8">
        <f>27.51/365</f>
        <v>7.5369863013698635E-2</v>
      </c>
      <c r="AA23" s="8">
        <v>3.64</v>
      </c>
      <c r="AB23" s="8">
        <f t="shared" si="2"/>
        <v>-6.9342465753424648E-2</v>
      </c>
      <c r="AC23" s="8">
        <v>0</v>
      </c>
      <c r="AD23" s="8">
        <v>0</v>
      </c>
      <c r="AE23" s="8">
        <v>0</v>
      </c>
      <c r="AF23" s="8">
        <v>0</v>
      </c>
      <c r="AG23" s="8">
        <v>0</v>
      </c>
      <c r="AH23" s="8">
        <v>0</v>
      </c>
      <c r="AI23" s="8">
        <f t="shared" si="3"/>
        <v>0</v>
      </c>
      <c r="AJ23" s="8">
        <v>0</v>
      </c>
      <c r="AK23" s="8">
        <v>0</v>
      </c>
      <c r="AL23" s="8">
        <v>0</v>
      </c>
      <c r="AM23" s="8">
        <v>0</v>
      </c>
      <c r="AN23" s="8">
        <v>0</v>
      </c>
      <c r="AO23" s="8">
        <v>0</v>
      </c>
      <c r="AP23" s="8">
        <f t="shared" si="4"/>
        <v>0</v>
      </c>
      <c r="AQ23" s="8">
        <v>0</v>
      </c>
      <c r="AR23" s="8">
        <v>0</v>
      </c>
      <c r="AS23" s="8">
        <v>0</v>
      </c>
      <c r="AT23" s="8">
        <v>0</v>
      </c>
      <c r="AU23" s="8">
        <v>0</v>
      </c>
      <c r="AV23" s="8">
        <v>0</v>
      </c>
      <c r="AW23" s="8">
        <f t="shared" si="5"/>
        <v>0</v>
      </c>
      <c r="AX23" s="29">
        <v>20</v>
      </c>
      <c r="AY23" s="29">
        <v>20</v>
      </c>
      <c r="AZ23" s="6"/>
      <c r="BA23" s="6" t="s">
        <v>73</v>
      </c>
    </row>
    <row r="24" spans="1:53">
      <c r="A24" s="7" t="s">
        <v>55</v>
      </c>
      <c r="B24" s="20" t="s">
        <v>160</v>
      </c>
      <c r="C24" s="12" t="s">
        <v>170</v>
      </c>
      <c r="D24" s="20" t="s">
        <v>165</v>
      </c>
      <c r="E24" s="6" t="s">
        <v>15</v>
      </c>
      <c r="F24" s="22" t="s">
        <v>56</v>
      </c>
      <c r="G24" s="10">
        <v>41815</v>
      </c>
      <c r="H24" s="8">
        <v>14.05</v>
      </c>
      <c r="I24" s="8">
        <v>0.04</v>
      </c>
      <c r="J24" s="8">
        <v>3</v>
      </c>
      <c r="K24" s="8">
        <v>13.87</v>
      </c>
      <c r="L24" s="8">
        <v>3.7999999999999999E-2</v>
      </c>
      <c r="M24" s="8">
        <v>1.73</v>
      </c>
      <c r="N24" s="8">
        <f t="shared" si="0"/>
        <v>-2.0000000000000018E-3</v>
      </c>
      <c r="O24" s="8">
        <v>0</v>
      </c>
      <c r="P24" s="8">
        <v>0</v>
      </c>
      <c r="Q24" s="8">
        <v>0</v>
      </c>
      <c r="R24" s="8">
        <v>0</v>
      </c>
      <c r="S24" s="8">
        <v>0</v>
      </c>
      <c r="T24" s="8">
        <v>0</v>
      </c>
      <c r="U24" s="8">
        <f t="shared" si="1"/>
        <v>0</v>
      </c>
      <c r="V24" s="8">
        <v>14.05</v>
      </c>
      <c r="W24" s="8">
        <v>0.04</v>
      </c>
      <c r="X24" s="8">
        <v>3</v>
      </c>
      <c r="Y24" s="8">
        <v>13.87</v>
      </c>
      <c r="Z24" s="8">
        <v>3.7999999999999999E-2</v>
      </c>
      <c r="AA24" s="8">
        <v>1.73</v>
      </c>
      <c r="AB24" s="8">
        <f t="shared" si="2"/>
        <v>-2.0000000000000018E-3</v>
      </c>
      <c r="AC24" s="8">
        <v>0</v>
      </c>
      <c r="AD24" s="8">
        <v>0</v>
      </c>
      <c r="AE24" s="8">
        <v>0</v>
      </c>
      <c r="AF24" s="8">
        <v>0</v>
      </c>
      <c r="AG24" s="8">
        <v>0</v>
      </c>
      <c r="AH24" s="8">
        <v>0</v>
      </c>
      <c r="AI24" s="8">
        <f t="shared" si="3"/>
        <v>0</v>
      </c>
      <c r="AJ24" s="8">
        <v>0</v>
      </c>
      <c r="AK24" s="8">
        <v>0</v>
      </c>
      <c r="AL24" s="8">
        <v>0</v>
      </c>
      <c r="AM24" s="8">
        <v>0</v>
      </c>
      <c r="AN24" s="8">
        <v>0</v>
      </c>
      <c r="AO24" s="8">
        <v>0</v>
      </c>
      <c r="AP24" s="8">
        <f t="shared" si="4"/>
        <v>0</v>
      </c>
      <c r="AQ24" s="8">
        <v>0</v>
      </c>
      <c r="AR24" s="8">
        <v>0</v>
      </c>
      <c r="AS24" s="8">
        <v>0</v>
      </c>
      <c r="AT24" s="8">
        <v>0</v>
      </c>
      <c r="AU24" s="8">
        <v>0</v>
      </c>
      <c r="AV24" s="8">
        <v>0</v>
      </c>
      <c r="AW24" s="8">
        <f t="shared" si="5"/>
        <v>0</v>
      </c>
      <c r="AX24" s="29">
        <v>20</v>
      </c>
      <c r="AY24" s="29">
        <v>20</v>
      </c>
      <c r="AZ24" s="6"/>
      <c r="BA24" s="6" t="s">
        <v>73</v>
      </c>
    </row>
    <row r="25" spans="1:53">
      <c r="A25" s="7" t="s">
        <v>55</v>
      </c>
      <c r="B25" s="25" t="s">
        <v>160</v>
      </c>
      <c r="C25" s="25" t="s">
        <v>170</v>
      </c>
      <c r="D25" s="28" t="s">
        <v>314</v>
      </c>
      <c r="E25" s="6" t="s">
        <v>15</v>
      </c>
      <c r="F25" s="6" t="s">
        <v>56</v>
      </c>
      <c r="G25" s="10">
        <v>41815</v>
      </c>
      <c r="H25" s="8">
        <v>14.02</v>
      </c>
      <c r="I25" s="8">
        <f>14.02/365</f>
        <v>3.8410958904109588E-2</v>
      </c>
      <c r="J25" s="8">
        <v>3</v>
      </c>
      <c r="K25" s="8">
        <v>13.87</v>
      </c>
      <c r="L25" s="8">
        <f>13.87/365</f>
        <v>3.7999999999999999E-2</v>
      </c>
      <c r="M25" s="8">
        <v>1.73</v>
      </c>
      <c r="N25" s="8">
        <f t="shared" si="0"/>
        <v>-4.1095890410958874E-4</v>
      </c>
      <c r="O25" s="8">
        <v>0</v>
      </c>
      <c r="P25" s="8">
        <v>0</v>
      </c>
      <c r="Q25" s="8">
        <v>0</v>
      </c>
      <c r="R25" s="8">
        <v>0</v>
      </c>
      <c r="S25" s="8">
        <v>0</v>
      </c>
      <c r="T25" s="8">
        <v>0</v>
      </c>
      <c r="U25" s="8">
        <f t="shared" si="1"/>
        <v>0</v>
      </c>
      <c r="V25" s="8">
        <v>14.02</v>
      </c>
      <c r="W25" s="8">
        <f>14.02/365</f>
        <v>3.8410958904109588E-2</v>
      </c>
      <c r="X25" s="8">
        <v>3</v>
      </c>
      <c r="Y25" s="8">
        <v>13.87</v>
      </c>
      <c r="Z25" s="8">
        <f>13.87/365</f>
        <v>3.7999999999999999E-2</v>
      </c>
      <c r="AA25" s="8">
        <v>1.73</v>
      </c>
      <c r="AB25" s="8">
        <f t="shared" si="2"/>
        <v>-4.1095890410958874E-4</v>
      </c>
      <c r="AC25" s="8">
        <v>0</v>
      </c>
      <c r="AD25" s="8">
        <v>0</v>
      </c>
      <c r="AE25" s="8">
        <v>0</v>
      </c>
      <c r="AF25" s="8">
        <v>0</v>
      </c>
      <c r="AG25" s="8">
        <v>0</v>
      </c>
      <c r="AH25" s="8">
        <v>0</v>
      </c>
      <c r="AI25" s="8">
        <f t="shared" si="3"/>
        <v>0</v>
      </c>
      <c r="AJ25" s="8">
        <v>0</v>
      </c>
      <c r="AK25" s="8">
        <v>0</v>
      </c>
      <c r="AL25" s="8">
        <v>0</v>
      </c>
      <c r="AM25" s="8">
        <v>0</v>
      </c>
      <c r="AN25" s="8">
        <v>0</v>
      </c>
      <c r="AO25" s="8">
        <v>0</v>
      </c>
      <c r="AP25" s="8">
        <f t="shared" si="4"/>
        <v>0</v>
      </c>
      <c r="AQ25" s="8">
        <v>0</v>
      </c>
      <c r="AR25" s="8">
        <v>0</v>
      </c>
      <c r="AS25" s="8">
        <v>0</v>
      </c>
      <c r="AT25" s="8">
        <v>0</v>
      </c>
      <c r="AU25" s="8">
        <v>0</v>
      </c>
      <c r="AV25" s="8">
        <v>0</v>
      </c>
      <c r="AW25" s="8">
        <f t="shared" si="5"/>
        <v>0</v>
      </c>
      <c r="AX25" s="29">
        <v>20</v>
      </c>
      <c r="AY25" s="29">
        <v>20</v>
      </c>
      <c r="AZ25" s="6"/>
      <c r="BA25" s="6" t="s">
        <v>73</v>
      </c>
    </row>
    <row r="26" spans="1:53">
      <c r="A26" s="7" t="s">
        <v>55</v>
      </c>
      <c r="B26" s="12" t="s">
        <v>121</v>
      </c>
      <c r="C26" s="12" t="s">
        <v>148</v>
      </c>
      <c r="D26" s="12" t="s">
        <v>124</v>
      </c>
      <c r="E26" s="6" t="s">
        <v>15</v>
      </c>
      <c r="F26" s="6" t="s">
        <v>59</v>
      </c>
      <c r="G26" s="10">
        <v>41816</v>
      </c>
      <c r="H26" s="8">
        <v>52.8</v>
      </c>
      <c r="I26" s="8">
        <v>0.14399999999999999</v>
      </c>
      <c r="J26" s="8">
        <v>7</v>
      </c>
      <c r="K26" s="8">
        <v>27.5</v>
      </c>
      <c r="L26" s="8">
        <v>7.4999999999999997E-2</v>
      </c>
      <c r="M26" s="8">
        <v>3.6</v>
      </c>
      <c r="N26" s="8">
        <f t="shared" si="0"/>
        <v>-6.8999999999999992E-2</v>
      </c>
      <c r="O26" s="8">
        <v>0</v>
      </c>
      <c r="P26" s="8">
        <v>0</v>
      </c>
      <c r="Q26" s="8">
        <v>0</v>
      </c>
      <c r="R26" s="8">
        <v>0</v>
      </c>
      <c r="S26" s="8">
        <v>0</v>
      </c>
      <c r="T26" s="8">
        <v>0</v>
      </c>
      <c r="U26" s="8">
        <f t="shared" si="1"/>
        <v>0</v>
      </c>
      <c r="V26" s="8">
        <v>52.8</v>
      </c>
      <c r="W26" s="8">
        <v>0.14399999999999999</v>
      </c>
      <c r="X26" s="8">
        <v>7</v>
      </c>
      <c r="Y26" s="8">
        <v>27.5</v>
      </c>
      <c r="Z26" s="8">
        <v>7.4999999999999997E-2</v>
      </c>
      <c r="AA26" s="8">
        <v>3.6</v>
      </c>
      <c r="AB26" s="8">
        <f t="shared" si="2"/>
        <v>-6.8999999999999992E-2</v>
      </c>
      <c r="AC26" s="8">
        <v>0</v>
      </c>
      <c r="AD26" s="8">
        <v>0</v>
      </c>
      <c r="AE26" s="8">
        <v>0</v>
      </c>
      <c r="AF26" s="8">
        <v>0</v>
      </c>
      <c r="AG26" s="8">
        <v>0</v>
      </c>
      <c r="AH26" s="8">
        <v>0</v>
      </c>
      <c r="AI26" s="8">
        <f t="shared" si="3"/>
        <v>0</v>
      </c>
      <c r="AJ26" s="8">
        <v>0</v>
      </c>
      <c r="AK26" s="8">
        <v>0</v>
      </c>
      <c r="AL26" s="8">
        <v>0</v>
      </c>
      <c r="AM26" s="8">
        <v>0</v>
      </c>
      <c r="AN26" s="8">
        <v>0</v>
      </c>
      <c r="AO26" s="8">
        <v>0</v>
      </c>
      <c r="AP26" s="8">
        <f t="shared" si="4"/>
        <v>0</v>
      </c>
      <c r="AQ26" s="8">
        <v>0</v>
      </c>
      <c r="AR26" s="8">
        <v>0</v>
      </c>
      <c r="AS26" s="8">
        <v>0</v>
      </c>
      <c r="AT26" s="8">
        <v>0</v>
      </c>
      <c r="AU26" s="8">
        <v>0</v>
      </c>
      <c r="AV26" s="8">
        <v>0</v>
      </c>
      <c r="AW26" s="8">
        <f t="shared" si="5"/>
        <v>0</v>
      </c>
      <c r="AX26" s="29">
        <v>20</v>
      </c>
      <c r="AY26" s="29">
        <v>20</v>
      </c>
      <c r="AZ26" s="6"/>
      <c r="BA26" s="6" t="s">
        <v>73</v>
      </c>
    </row>
    <row r="27" spans="1:53">
      <c r="A27" s="7" t="s">
        <v>55</v>
      </c>
      <c r="B27" s="19" t="s">
        <v>151</v>
      </c>
      <c r="C27" s="12" t="s">
        <v>157</v>
      </c>
      <c r="D27" s="19" t="s">
        <v>153</v>
      </c>
      <c r="E27" s="6" t="s">
        <v>15</v>
      </c>
      <c r="F27" s="6" t="s">
        <v>58</v>
      </c>
      <c r="G27" s="10">
        <v>41822</v>
      </c>
      <c r="H27" s="8">
        <v>0</v>
      </c>
      <c r="I27" s="8">
        <v>0</v>
      </c>
      <c r="J27" s="8">
        <v>0</v>
      </c>
      <c r="K27" s="8">
        <v>1.1000000000000001</v>
      </c>
      <c r="L27" s="8">
        <f>1.1/365</f>
        <v>3.0136986301369864E-3</v>
      </c>
      <c r="M27" s="8">
        <v>0.09</v>
      </c>
      <c r="N27" s="8">
        <f t="shared" si="0"/>
        <v>3.0136986301369864E-3</v>
      </c>
      <c r="O27" s="8">
        <v>0</v>
      </c>
      <c r="P27" s="8">
        <v>0</v>
      </c>
      <c r="Q27" s="8">
        <v>0</v>
      </c>
      <c r="R27" s="8">
        <v>0</v>
      </c>
      <c r="S27" s="8">
        <v>0</v>
      </c>
      <c r="T27" s="8">
        <v>0</v>
      </c>
      <c r="U27" s="8">
        <f t="shared" si="1"/>
        <v>0</v>
      </c>
      <c r="V27" s="8">
        <v>0</v>
      </c>
      <c r="W27" s="8">
        <v>0</v>
      </c>
      <c r="X27" s="8">
        <v>0</v>
      </c>
      <c r="Y27" s="8">
        <v>1.1000000000000001</v>
      </c>
      <c r="Z27" s="8">
        <f>1.1/365</f>
        <v>3.0136986301369864E-3</v>
      </c>
      <c r="AA27" s="8">
        <v>0.09</v>
      </c>
      <c r="AB27" s="8">
        <f t="shared" si="2"/>
        <v>3.0136986301369864E-3</v>
      </c>
      <c r="AC27" s="8">
        <v>0</v>
      </c>
      <c r="AD27" s="8">
        <v>0</v>
      </c>
      <c r="AE27" s="8">
        <v>0</v>
      </c>
      <c r="AF27" s="8">
        <v>0</v>
      </c>
      <c r="AG27" s="8">
        <v>0</v>
      </c>
      <c r="AH27" s="8">
        <v>0</v>
      </c>
      <c r="AI27" s="8">
        <f t="shared" si="3"/>
        <v>0</v>
      </c>
      <c r="AJ27" s="8">
        <v>0</v>
      </c>
      <c r="AK27" s="8">
        <v>0</v>
      </c>
      <c r="AL27" s="8">
        <v>0</v>
      </c>
      <c r="AM27" s="8">
        <v>0</v>
      </c>
      <c r="AN27" s="8">
        <v>0</v>
      </c>
      <c r="AO27" s="8">
        <v>0</v>
      </c>
      <c r="AP27" s="8">
        <f t="shared" si="4"/>
        <v>0</v>
      </c>
      <c r="AQ27" s="8">
        <v>0</v>
      </c>
      <c r="AR27" s="8">
        <v>0</v>
      </c>
      <c r="AS27" s="8">
        <v>0</v>
      </c>
      <c r="AT27" s="8">
        <v>0</v>
      </c>
      <c r="AU27" s="8">
        <v>0</v>
      </c>
      <c r="AV27" s="8">
        <v>0</v>
      </c>
      <c r="AW27" s="8">
        <f t="shared" si="5"/>
        <v>0</v>
      </c>
      <c r="AX27" s="29">
        <v>20</v>
      </c>
      <c r="AY27" s="29">
        <v>20</v>
      </c>
      <c r="AZ27" s="6"/>
      <c r="BA27" s="6" t="s">
        <v>73</v>
      </c>
    </row>
    <row r="28" spans="1:53">
      <c r="A28" s="7" t="s">
        <v>55</v>
      </c>
      <c r="B28" s="23" t="s">
        <v>151</v>
      </c>
      <c r="C28" s="23" t="s">
        <v>157</v>
      </c>
      <c r="D28" s="28" t="s">
        <v>374</v>
      </c>
      <c r="E28" s="6" t="s">
        <v>15</v>
      </c>
      <c r="F28" s="6" t="s">
        <v>60</v>
      </c>
      <c r="G28" s="10">
        <v>41822</v>
      </c>
      <c r="H28" s="8">
        <v>0</v>
      </c>
      <c r="I28" s="8">
        <v>0</v>
      </c>
      <c r="J28" s="8">
        <v>0</v>
      </c>
      <c r="K28" s="8">
        <v>1</v>
      </c>
      <c r="L28" s="8">
        <v>2.7397260273972603E-3</v>
      </c>
      <c r="M28" s="8">
        <v>0.09</v>
      </c>
      <c r="N28" s="8">
        <f t="shared" si="0"/>
        <v>2.7397260273972603E-3</v>
      </c>
      <c r="O28" s="8">
        <v>0</v>
      </c>
      <c r="P28" s="8">
        <v>0</v>
      </c>
      <c r="Q28" s="8">
        <v>0</v>
      </c>
      <c r="R28" s="8">
        <v>0</v>
      </c>
      <c r="S28" s="8">
        <v>0</v>
      </c>
      <c r="T28" s="8">
        <v>0</v>
      </c>
      <c r="U28" s="8">
        <f t="shared" si="1"/>
        <v>0</v>
      </c>
      <c r="V28" s="8">
        <v>0</v>
      </c>
      <c r="W28" s="8">
        <v>0</v>
      </c>
      <c r="X28" s="8">
        <v>0</v>
      </c>
      <c r="Y28" s="8">
        <v>1</v>
      </c>
      <c r="Z28" s="8">
        <v>2.7397260273972603E-3</v>
      </c>
      <c r="AA28" s="8">
        <v>0.09</v>
      </c>
      <c r="AB28" s="8">
        <f t="shared" si="2"/>
        <v>2.7397260273972603E-3</v>
      </c>
      <c r="AC28" s="8">
        <v>0</v>
      </c>
      <c r="AD28" s="8">
        <v>0</v>
      </c>
      <c r="AE28" s="8">
        <v>0</v>
      </c>
      <c r="AF28" s="8">
        <v>0</v>
      </c>
      <c r="AG28" s="8">
        <v>0</v>
      </c>
      <c r="AH28" s="8">
        <v>0</v>
      </c>
      <c r="AI28" s="8">
        <f t="shared" si="3"/>
        <v>0</v>
      </c>
      <c r="AJ28" s="8">
        <v>0</v>
      </c>
      <c r="AK28" s="8">
        <v>0</v>
      </c>
      <c r="AL28" s="8">
        <v>0</v>
      </c>
      <c r="AM28" s="8">
        <v>0</v>
      </c>
      <c r="AN28" s="8">
        <v>0</v>
      </c>
      <c r="AO28" s="8">
        <v>0</v>
      </c>
      <c r="AP28" s="8">
        <f t="shared" si="4"/>
        <v>0</v>
      </c>
      <c r="AQ28" s="8">
        <v>0</v>
      </c>
      <c r="AR28" s="8">
        <v>0</v>
      </c>
      <c r="AS28" s="8">
        <v>0</v>
      </c>
      <c r="AT28" s="8">
        <v>0</v>
      </c>
      <c r="AU28" s="8">
        <v>0</v>
      </c>
      <c r="AV28" s="8">
        <v>0</v>
      </c>
      <c r="AW28" s="8">
        <f t="shared" si="5"/>
        <v>0</v>
      </c>
      <c r="AX28" s="29">
        <v>20</v>
      </c>
      <c r="AY28" s="29">
        <v>20</v>
      </c>
      <c r="AZ28" s="6"/>
      <c r="BA28" s="6" t="s">
        <v>73</v>
      </c>
    </row>
    <row r="29" spans="1:53">
      <c r="A29" s="7" t="s">
        <v>55</v>
      </c>
      <c r="B29" s="20" t="s">
        <v>161</v>
      </c>
      <c r="C29" s="12" t="s">
        <v>171</v>
      </c>
      <c r="D29" s="20" t="s">
        <v>166</v>
      </c>
      <c r="E29" s="6" t="s">
        <v>15</v>
      </c>
      <c r="F29" s="22" t="s">
        <v>58</v>
      </c>
      <c r="G29" s="10">
        <v>41831</v>
      </c>
      <c r="H29" s="8">
        <v>0</v>
      </c>
      <c r="I29" s="8">
        <v>0</v>
      </c>
      <c r="J29" s="8">
        <v>0</v>
      </c>
      <c r="K29" s="8">
        <v>8.74</v>
      </c>
      <c r="L29" s="8">
        <v>2.4E-2</v>
      </c>
      <c r="M29" s="8">
        <v>1.1000000000000001</v>
      </c>
      <c r="N29" s="8">
        <f t="shared" si="0"/>
        <v>2.4E-2</v>
      </c>
      <c r="O29" s="8">
        <v>0</v>
      </c>
      <c r="P29" s="8">
        <v>0</v>
      </c>
      <c r="Q29" s="8">
        <v>0</v>
      </c>
      <c r="R29" s="8">
        <v>0</v>
      </c>
      <c r="S29" s="8">
        <v>0</v>
      </c>
      <c r="T29" s="8">
        <v>0</v>
      </c>
      <c r="U29" s="8">
        <f t="shared" si="1"/>
        <v>0</v>
      </c>
      <c r="V29" s="8">
        <v>0</v>
      </c>
      <c r="W29" s="8">
        <v>0</v>
      </c>
      <c r="X29" s="8">
        <v>0</v>
      </c>
      <c r="Y29" s="8">
        <v>8.74</v>
      </c>
      <c r="Z29" s="8">
        <v>2.4E-2</v>
      </c>
      <c r="AA29" s="8">
        <v>1.1000000000000001</v>
      </c>
      <c r="AB29" s="8">
        <f t="shared" si="2"/>
        <v>2.4E-2</v>
      </c>
      <c r="AC29" s="8">
        <v>0</v>
      </c>
      <c r="AD29" s="8">
        <v>0</v>
      </c>
      <c r="AE29" s="8">
        <v>0</v>
      </c>
      <c r="AF29" s="8">
        <v>0</v>
      </c>
      <c r="AG29" s="8">
        <v>0</v>
      </c>
      <c r="AH29" s="8">
        <v>0</v>
      </c>
      <c r="AI29" s="8">
        <f t="shared" si="3"/>
        <v>0</v>
      </c>
      <c r="AJ29" s="8">
        <v>0</v>
      </c>
      <c r="AK29" s="8">
        <v>0</v>
      </c>
      <c r="AL29" s="8">
        <v>0</v>
      </c>
      <c r="AM29" s="8">
        <v>0</v>
      </c>
      <c r="AN29" s="8">
        <v>0</v>
      </c>
      <c r="AO29" s="8">
        <v>0</v>
      </c>
      <c r="AP29" s="8">
        <f t="shared" si="4"/>
        <v>0</v>
      </c>
      <c r="AQ29" s="8">
        <v>0</v>
      </c>
      <c r="AR29" s="8">
        <v>0</v>
      </c>
      <c r="AS29" s="8">
        <v>0</v>
      </c>
      <c r="AT29" s="8">
        <v>0</v>
      </c>
      <c r="AU29" s="8">
        <v>0</v>
      </c>
      <c r="AV29" s="8">
        <v>0</v>
      </c>
      <c r="AW29" s="8">
        <f t="shared" si="5"/>
        <v>0</v>
      </c>
      <c r="AX29" s="29">
        <v>20</v>
      </c>
      <c r="AY29" s="29">
        <v>20</v>
      </c>
      <c r="AZ29" s="6"/>
      <c r="BA29" s="6" t="s">
        <v>73</v>
      </c>
    </row>
    <row r="30" spans="1:53">
      <c r="A30" s="7" t="s">
        <v>55</v>
      </c>
      <c r="B30" s="23" t="s">
        <v>161</v>
      </c>
      <c r="C30" s="23" t="s">
        <v>171</v>
      </c>
      <c r="D30" s="28" t="s">
        <v>375</v>
      </c>
      <c r="E30" s="6" t="s">
        <v>15</v>
      </c>
      <c r="F30" s="6" t="s">
        <v>58</v>
      </c>
      <c r="G30" s="10">
        <v>41831</v>
      </c>
      <c r="H30" s="8">
        <v>0</v>
      </c>
      <c r="I30" s="8">
        <v>0</v>
      </c>
      <c r="J30" s="8">
        <v>0</v>
      </c>
      <c r="K30" s="8">
        <v>8.74</v>
      </c>
      <c r="L30" s="8">
        <f>8.74/365</f>
        <v>2.3945205479452055E-2</v>
      </c>
      <c r="M30" s="8">
        <v>1.1299999999999999</v>
      </c>
      <c r="N30" s="8">
        <f t="shared" si="0"/>
        <v>2.3945205479452055E-2</v>
      </c>
      <c r="O30" s="8">
        <v>0</v>
      </c>
      <c r="P30" s="8">
        <v>0</v>
      </c>
      <c r="Q30" s="8">
        <v>0</v>
      </c>
      <c r="R30" s="8">
        <v>0</v>
      </c>
      <c r="S30" s="8">
        <v>0</v>
      </c>
      <c r="T30" s="8">
        <v>0</v>
      </c>
      <c r="U30" s="8">
        <f t="shared" si="1"/>
        <v>0</v>
      </c>
      <c r="V30" s="8">
        <v>0</v>
      </c>
      <c r="W30" s="8">
        <v>0</v>
      </c>
      <c r="X30" s="8">
        <v>0</v>
      </c>
      <c r="Y30" s="8">
        <v>8.74</v>
      </c>
      <c r="Z30" s="8">
        <f>8.74/365</f>
        <v>2.3945205479452055E-2</v>
      </c>
      <c r="AA30" s="8">
        <v>1.1299999999999999</v>
      </c>
      <c r="AB30" s="8">
        <f t="shared" si="2"/>
        <v>2.3945205479452055E-2</v>
      </c>
      <c r="AC30" s="8">
        <v>0</v>
      </c>
      <c r="AD30" s="8">
        <v>0</v>
      </c>
      <c r="AE30" s="8">
        <v>0</v>
      </c>
      <c r="AF30" s="8">
        <v>0</v>
      </c>
      <c r="AG30" s="8">
        <v>0</v>
      </c>
      <c r="AH30" s="8">
        <v>0</v>
      </c>
      <c r="AI30" s="8">
        <f t="shared" si="3"/>
        <v>0</v>
      </c>
      <c r="AJ30" s="8">
        <v>0</v>
      </c>
      <c r="AK30" s="8">
        <v>0</v>
      </c>
      <c r="AL30" s="8">
        <v>0</v>
      </c>
      <c r="AM30" s="8">
        <v>0</v>
      </c>
      <c r="AN30" s="8">
        <v>0</v>
      </c>
      <c r="AO30" s="8">
        <v>0</v>
      </c>
      <c r="AP30" s="8">
        <f t="shared" si="4"/>
        <v>0</v>
      </c>
      <c r="AQ30" s="8">
        <v>0</v>
      </c>
      <c r="AR30" s="8">
        <v>0</v>
      </c>
      <c r="AS30" s="8">
        <v>0</v>
      </c>
      <c r="AT30" s="8">
        <v>0</v>
      </c>
      <c r="AU30" s="8">
        <v>0</v>
      </c>
      <c r="AV30" s="8">
        <v>0</v>
      </c>
      <c r="AW30" s="8">
        <f t="shared" si="5"/>
        <v>0</v>
      </c>
      <c r="AX30" s="29">
        <v>20</v>
      </c>
      <c r="AY30" s="29">
        <v>20</v>
      </c>
      <c r="AZ30" s="6"/>
      <c r="BA30" s="6" t="s">
        <v>73</v>
      </c>
    </row>
    <row r="31" spans="1:53">
      <c r="A31" s="7" t="s">
        <v>55</v>
      </c>
      <c r="B31" s="18" t="s">
        <v>128</v>
      </c>
      <c r="C31" s="12" t="s">
        <v>130</v>
      </c>
      <c r="D31" s="15" t="s">
        <v>129</v>
      </c>
      <c r="E31" s="6" t="s">
        <v>155</v>
      </c>
      <c r="F31" s="6" t="s">
        <v>59</v>
      </c>
      <c r="G31" s="10">
        <v>41848</v>
      </c>
      <c r="H31" s="8">
        <v>0</v>
      </c>
      <c r="I31" s="8">
        <v>0</v>
      </c>
      <c r="J31" s="8">
        <v>0</v>
      </c>
      <c r="K31" s="8">
        <v>0</v>
      </c>
      <c r="L31" s="8">
        <v>0</v>
      </c>
      <c r="M31" s="8">
        <v>0</v>
      </c>
      <c r="N31" s="8">
        <f t="shared" si="0"/>
        <v>0</v>
      </c>
      <c r="O31" s="8">
        <v>0</v>
      </c>
      <c r="P31" s="8">
        <v>0</v>
      </c>
      <c r="Q31" s="8">
        <v>0</v>
      </c>
      <c r="R31" s="8">
        <v>0</v>
      </c>
      <c r="S31" s="8">
        <v>0</v>
      </c>
      <c r="T31" s="8">
        <v>0</v>
      </c>
      <c r="U31" s="8">
        <f t="shared" si="1"/>
        <v>0</v>
      </c>
      <c r="V31" s="8">
        <v>0</v>
      </c>
      <c r="W31" s="8">
        <v>0</v>
      </c>
      <c r="X31" s="8">
        <v>0</v>
      </c>
      <c r="Y31" s="8">
        <v>0</v>
      </c>
      <c r="Z31" s="8">
        <v>0</v>
      </c>
      <c r="AA31" s="8">
        <v>0</v>
      </c>
      <c r="AB31" s="8">
        <f t="shared" si="2"/>
        <v>0</v>
      </c>
      <c r="AC31" s="8">
        <v>0</v>
      </c>
      <c r="AD31" s="8">
        <v>0</v>
      </c>
      <c r="AE31" s="8">
        <v>0</v>
      </c>
      <c r="AF31" s="8">
        <v>0</v>
      </c>
      <c r="AG31" s="8">
        <v>0</v>
      </c>
      <c r="AH31" s="8">
        <v>0</v>
      </c>
      <c r="AI31" s="8">
        <f t="shared" si="3"/>
        <v>0</v>
      </c>
      <c r="AJ31" s="8">
        <v>0</v>
      </c>
      <c r="AK31" s="8">
        <v>0</v>
      </c>
      <c r="AL31" s="8">
        <v>0</v>
      </c>
      <c r="AM31" s="8">
        <v>0</v>
      </c>
      <c r="AN31" s="8">
        <v>0</v>
      </c>
      <c r="AO31" s="8">
        <v>0</v>
      </c>
      <c r="AP31" s="8">
        <f t="shared" si="4"/>
        <v>0</v>
      </c>
      <c r="AQ31" s="8">
        <v>195.61</v>
      </c>
      <c r="AR31" s="8">
        <v>0.54</v>
      </c>
      <c r="AS31" s="8">
        <v>71.42</v>
      </c>
      <c r="AT31" s="8">
        <v>182.47</v>
      </c>
      <c r="AU31" s="8">
        <f>182.47/365</f>
        <v>0.49991780821917808</v>
      </c>
      <c r="AV31" s="8">
        <v>23.2</v>
      </c>
      <c r="AW31" s="8">
        <f t="shared" si="5"/>
        <v>-4.0082191780821952E-2</v>
      </c>
      <c r="AX31" s="29">
        <v>20</v>
      </c>
      <c r="AY31" s="29">
        <v>20</v>
      </c>
      <c r="AZ31" s="6" t="s">
        <v>156</v>
      </c>
      <c r="BA31" s="6" t="s">
        <v>73</v>
      </c>
    </row>
    <row r="32" spans="1:53">
      <c r="A32" s="7" t="s">
        <v>55</v>
      </c>
      <c r="B32" s="12" t="s">
        <v>126</v>
      </c>
      <c r="C32" s="12" t="s">
        <v>150</v>
      </c>
      <c r="D32" s="12" t="s">
        <v>127</v>
      </c>
      <c r="E32" s="6" t="s">
        <v>15</v>
      </c>
      <c r="F32" s="6" t="s">
        <v>57</v>
      </c>
      <c r="G32" s="10">
        <v>41849</v>
      </c>
      <c r="H32" s="8">
        <v>76.599999999999994</v>
      </c>
      <c r="I32" s="8">
        <v>0.21</v>
      </c>
      <c r="J32" s="8">
        <v>45</v>
      </c>
      <c r="K32" s="8">
        <v>76.599999999999994</v>
      </c>
      <c r="L32" s="8">
        <f>76.6/365</f>
        <v>0.20986301369863011</v>
      </c>
      <c r="M32" s="8">
        <v>10</v>
      </c>
      <c r="N32" s="8">
        <f t="shared" si="0"/>
        <v>-1.369863013698791E-4</v>
      </c>
      <c r="O32" s="8">
        <v>0</v>
      </c>
      <c r="P32" s="8">
        <v>0</v>
      </c>
      <c r="Q32" s="8">
        <v>0</v>
      </c>
      <c r="R32" s="8">
        <v>0</v>
      </c>
      <c r="S32" s="8">
        <v>0</v>
      </c>
      <c r="T32" s="8">
        <v>0</v>
      </c>
      <c r="U32" s="8">
        <f t="shared" si="1"/>
        <v>0</v>
      </c>
      <c r="V32" s="8">
        <v>76.599999999999994</v>
      </c>
      <c r="W32" s="8">
        <v>0.21</v>
      </c>
      <c r="X32" s="8">
        <v>45</v>
      </c>
      <c r="Y32" s="8">
        <v>76.599999999999994</v>
      </c>
      <c r="Z32" s="8">
        <v>0.21</v>
      </c>
      <c r="AA32" s="8">
        <v>10</v>
      </c>
      <c r="AB32" s="8">
        <f t="shared" si="2"/>
        <v>0</v>
      </c>
      <c r="AC32" s="8">
        <v>0</v>
      </c>
      <c r="AD32" s="8">
        <v>0</v>
      </c>
      <c r="AE32" s="8">
        <v>0</v>
      </c>
      <c r="AF32" s="8">
        <v>0</v>
      </c>
      <c r="AG32" s="8">
        <v>0</v>
      </c>
      <c r="AH32" s="8">
        <v>0</v>
      </c>
      <c r="AI32" s="8">
        <f t="shared" si="3"/>
        <v>0</v>
      </c>
      <c r="AJ32" s="8">
        <v>0</v>
      </c>
      <c r="AK32" s="8">
        <v>0</v>
      </c>
      <c r="AL32" s="8">
        <v>0</v>
      </c>
      <c r="AM32" s="8">
        <v>0</v>
      </c>
      <c r="AN32" s="8">
        <v>0</v>
      </c>
      <c r="AO32" s="8">
        <v>0</v>
      </c>
      <c r="AP32" s="8">
        <f t="shared" si="4"/>
        <v>0</v>
      </c>
      <c r="AQ32" s="8">
        <v>0</v>
      </c>
      <c r="AR32" s="8">
        <v>0</v>
      </c>
      <c r="AS32" s="8">
        <v>0</v>
      </c>
      <c r="AT32" s="8">
        <v>0</v>
      </c>
      <c r="AU32" s="8">
        <v>0</v>
      </c>
      <c r="AV32" s="8">
        <v>0</v>
      </c>
      <c r="AW32" s="8">
        <f t="shared" si="5"/>
        <v>0</v>
      </c>
      <c r="AX32" s="29">
        <v>20</v>
      </c>
      <c r="AY32" s="29">
        <v>20</v>
      </c>
      <c r="AZ32" s="6"/>
      <c r="BA32" s="6" t="s">
        <v>73</v>
      </c>
    </row>
    <row r="33" spans="1:53">
      <c r="A33" s="7" t="s">
        <v>55</v>
      </c>
      <c r="B33" s="14" t="s">
        <v>93</v>
      </c>
      <c r="C33" s="24" t="s">
        <v>133</v>
      </c>
      <c r="D33" s="17" t="s">
        <v>97</v>
      </c>
      <c r="E33" s="6" t="s">
        <v>15</v>
      </c>
      <c r="F33" s="6" t="s">
        <v>57</v>
      </c>
      <c r="G33" s="10">
        <v>41855</v>
      </c>
      <c r="H33" s="8">
        <v>362.25</v>
      </c>
      <c r="I33" s="8">
        <v>0.99</v>
      </c>
      <c r="J33" s="8">
        <v>46.9</v>
      </c>
      <c r="K33" s="8">
        <v>362.25</v>
      </c>
      <c r="L33" s="8">
        <v>0.99</v>
      </c>
      <c r="M33" s="8">
        <v>46.9</v>
      </c>
      <c r="N33" s="8">
        <f t="shared" si="0"/>
        <v>0</v>
      </c>
      <c r="O33" s="8">
        <v>0</v>
      </c>
      <c r="P33" s="8">
        <v>0</v>
      </c>
      <c r="Q33" s="8">
        <v>0</v>
      </c>
      <c r="R33" s="8">
        <v>0</v>
      </c>
      <c r="S33" s="8">
        <v>0</v>
      </c>
      <c r="T33" s="8">
        <v>0</v>
      </c>
      <c r="U33" s="8">
        <f t="shared" si="1"/>
        <v>0</v>
      </c>
      <c r="V33" s="8">
        <v>362.25</v>
      </c>
      <c r="W33" s="8">
        <v>0.99</v>
      </c>
      <c r="X33" s="8">
        <v>46.9</v>
      </c>
      <c r="Y33" s="8">
        <v>362.25</v>
      </c>
      <c r="Z33" s="8">
        <v>0.99</v>
      </c>
      <c r="AA33" s="8">
        <v>46.9</v>
      </c>
      <c r="AB33" s="8">
        <f t="shared" si="2"/>
        <v>0</v>
      </c>
      <c r="AC33" s="8">
        <v>0</v>
      </c>
      <c r="AD33" s="8">
        <v>0</v>
      </c>
      <c r="AE33" s="8">
        <v>0</v>
      </c>
      <c r="AF33" s="8">
        <v>0</v>
      </c>
      <c r="AG33" s="8">
        <v>0</v>
      </c>
      <c r="AH33" s="8">
        <v>0</v>
      </c>
      <c r="AI33" s="8">
        <f t="shared" si="3"/>
        <v>0</v>
      </c>
      <c r="AJ33" s="8">
        <v>0</v>
      </c>
      <c r="AK33" s="8">
        <v>0</v>
      </c>
      <c r="AL33" s="8">
        <v>0</v>
      </c>
      <c r="AM33" s="8">
        <v>0</v>
      </c>
      <c r="AN33" s="8">
        <v>0</v>
      </c>
      <c r="AO33" s="8">
        <v>0</v>
      </c>
      <c r="AP33" s="8">
        <f t="shared" si="4"/>
        <v>0</v>
      </c>
      <c r="AQ33" s="8">
        <v>0</v>
      </c>
      <c r="AR33" s="8">
        <v>0</v>
      </c>
      <c r="AS33" s="8">
        <v>0</v>
      </c>
      <c r="AT33" s="8">
        <v>0</v>
      </c>
      <c r="AU33" s="8">
        <v>0</v>
      </c>
      <c r="AV33" s="8">
        <v>0</v>
      </c>
      <c r="AW33" s="8">
        <f t="shared" si="5"/>
        <v>0</v>
      </c>
      <c r="AX33" s="29">
        <v>20</v>
      </c>
      <c r="AY33" s="29">
        <v>20</v>
      </c>
      <c r="AZ33" s="6"/>
      <c r="BA33" s="6" t="s">
        <v>73</v>
      </c>
    </row>
    <row r="34" spans="1:53">
      <c r="A34" s="7" t="s">
        <v>55</v>
      </c>
      <c r="B34" s="19" t="s">
        <v>159</v>
      </c>
      <c r="C34" s="12" t="s">
        <v>169</v>
      </c>
      <c r="D34" s="19" t="s">
        <v>164</v>
      </c>
      <c r="E34" s="6" t="s">
        <v>15</v>
      </c>
      <c r="F34" s="22" t="s">
        <v>57</v>
      </c>
      <c r="G34" s="10">
        <v>41857</v>
      </c>
      <c r="H34" s="8">
        <v>89.7</v>
      </c>
      <c r="I34" s="8">
        <v>0.246</v>
      </c>
      <c r="J34" s="8">
        <v>12.05</v>
      </c>
      <c r="K34" s="8">
        <v>93.02</v>
      </c>
      <c r="L34" s="8">
        <f>93.02/365</f>
        <v>0.25484931506849312</v>
      </c>
      <c r="M34" s="8">
        <v>12.31</v>
      </c>
      <c r="N34" s="8">
        <f t="shared" ref="N34:N65" si="6">+L34-I34</f>
        <v>8.8493150684931243E-3</v>
      </c>
      <c r="O34" s="8">
        <v>0</v>
      </c>
      <c r="P34" s="8">
        <v>0</v>
      </c>
      <c r="Q34" s="8">
        <v>0</v>
      </c>
      <c r="R34" s="8">
        <v>0</v>
      </c>
      <c r="S34" s="8">
        <v>0</v>
      </c>
      <c r="T34" s="8">
        <v>0</v>
      </c>
      <c r="U34" s="8">
        <f t="shared" ref="U34:U65" si="7">+S34-P34</f>
        <v>0</v>
      </c>
      <c r="V34" s="8">
        <v>89.7</v>
      </c>
      <c r="W34" s="8">
        <v>0.246</v>
      </c>
      <c r="X34" s="8">
        <v>12.05</v>
      </c>
      <c r="Y34" s="8">
        <v>93.02</v>
      </c>
      <c r="Z34" s="8">
        <f>93.02/365</f>
        <v>0.25484931506849312</v>
      </c>
      <c r="AA34" s="8">
        <v>12.31</v>
      </c>
      <c r="AB34" s="8">
        <f t="shared" ref="AB34:AB65" si="8">+Z34-W34</f>
        <v>8.8493150684931243E-3</v>
      </c>
      <c r="AC34" s="8">
        <v>0</v>
      </c>
      <c r="AD34" s="8">
        <v>0</v>
      </c>
      <c r="AE34" s="8">
        <v>0</v>
      </c>
      <c r="AF34" s="8">
        <v>0</v>
      </c>
      <c r="AG34" s="8">
        <v>0</v>
      </c>
      <c r="AH34" s="8">
        <v>0</v>
      </c>
      <c r="AI34" s="8">
        <f t="shared" ref="AI34:AI65" si="9">+AG34-AD34</f>
        <v>0</v>
      </c>
      <c r="AJ34" s="8">
        <v>0</v>
      </c>
      <c r="AK34" s="8">
        <v>0</v>
      </c>
      <c r="AL34" s="8">
        <v>0</v>
      </c>
      <c r="AM34" s="8">
        <v>0</v>
      </c>
      <c r="AN34" s="8">
        <v>0</v>
      </c>
      <c r="AO34" s="8">
        <v>0</v>
      </c>
      <c r="AP34" s="8">
        <f t="shared" ref="AP34:AP65" si="10">+AN34-AK34</f>
        <v>0</v>
      </c>
      <c r="AQ34" s="8">
        <v>0</v>
      </c>
      <c r="AR34" s="8">
        <v>0</v>
      </c>
      <c r="AS34" s="8">
        <v>0</v>
      </c>
      <c r="AT34" s="8">
        <v>0</v>
      </c>
      <c r="AU34" s="8">
        <v>0</v>
      </c>
      <c r="AV34" s="8">
        <v>0</v>
      </c>
      <c r="AW34" s="8">
        <f t="shared" ref="AW34:AW65" si="11">+AU34-AR34</f>
        <v>0</v>
      </c>
      <c r="AX34" s="29">
        <v>20</v>
      </c>
      <c r="AY34" s="29">
        <v>20</v>
      </c>
      <c r="AZ34" s="6"/>
      <c r="BA34" s="6" t="s">
        <v>73</v>
      </c>
    </row>
    <row r="35" spans="1:53" ht="26.25">
      <c r="A35" s="7" t="s">
        <v>55</v>
      </c>
      <c r="B35" s="23" t="s">
        <v>329</v>
      </c>
      <c r="C35" s="23" t="s">
        <v>334</v>
      </c>
      <c r="D35" s="28" t="s">
        <v>324</v>
      </c>
      <c r="E35" s="6" t="s">
        <v>15</v>
      </c>
      <c r="F35" s="6" t="s">
        <v>58</v>
      </c>
      <c r="G35" s="10">
        <v>41859</v>
      </c>
      <c r="H35" s="8">
        <v>0</v>
      </c>
      <c r="I35" s="8">
        <v>0</v>
      </c>
      <c r="J35" s="8">
        <v>0</v>
      </c>
      <c r="K35" s="8">
        <v>5</v>
      </c>
      <c r="L35" s="8">
        <v>1.3698630136986301E-2</v>
      </c>
      <c r="M35" s="8">
        <v>0.67</v>
      </c>
      <c r="N35" s="8">
        <f t="shared" si="6"/>
        <v>1.3698630136986301E-2</v>
      </c>
      <c r="O35" s="8">
        <v>0</v>
      </c>
      <c r="P35" s="8">
        <v>0</v>
      </c>
      <c r="Q35" s="8">
        <v>0</v>
      </c>
      <c r="R35" s="8">
        <v>0</v>
      </c>
      <c r="S35" s="8">
        <v>0</v>
      </c>
      <c r="T35" s="8">
        <v>0</v>
      </c>
      <c r="U35" s="8">
        <f t="shared" si="7"/>
        <v>0</v>
      </c>
      <c r="V35" s="8">
        <v>0</v>
      </c>
      <c r="W35" s="8">
        <v>0</v>
      </c>
      <c r="X35" s="8">
        <v>0</v>
      </c>
      <c r="Y35" s="8">
        <v>5</v>
      </c>
      <c r="Z35" s="8">
        <v>1.3698630136986301E-2</v>
      </c>
      <c r="AA35" s="8">
        <v>0.67</v>
      </c>
      <c r="AB35" s="8">
        <f t="shared" si="8"/>
        <v>1.3698630136986301E-2</v>
      </c>
      <c r="AC35" s="8">
        <v>0</v>
      </c>
      <c r="AD35" s="8">
        <v>0</v>
      </c>
      <c r="AE35" s="8">
        <v>0</v>
      </c>
      <c r="AF35" s="8">
        <v>0</v>
      </c>
      <c r="AG35" s="8">
        <v>0</v>
      </c>
      <c r="AH35" s="8">
        <v>0</v>
      </c>
      <c r="AI35" s="8">
        <f t="shared" si="9"/>
        <v>0</v>
      </c>
      <c r="AJ35" s="8">
        <v>0</v>
      </c>
      <c r="AK35" s="8">
        <v>0</v>
      </c>
      <c r="AL35" s="8">
        <v>0</v>
      </c>
      <c r="AM35" s="8">
        <v>0</v>
      </c>
      <c r="AN35" s="8">
        <v>0</v>
      </c>
      <c r="AO35" s="8">
        <v>0</v>
      </c>
      <c r="AP35" s="8">
        <f t="shared" si="10"/>
        <v>0</v>
      </c>
      <c r="AQ35" s="8">
        <v>0</v>
      </c>
      <c r="AR35" s="8">
        <v>0</v>
      </c>
      <c r="AS35" s="8">
        <v>0</v>
      </c>
      <c r="AT35" s="8">
        <v>0</v>
      </c>
      <c r="AU35" s="8">
        <v>0</v>
      </c>
      <c r="AV35" s="8">
        <v>0</v>
      </c>
      <c r="AW35" s="8">
        <f t="shared" si="11"/>
        <v>0</v>
      </c>
      <c r="AX35" s="29">
        <v>20</v>
      </c>
      <c r="AY35" s="29">
        <v>20</v>
      </c>
      <c r="AZ35" s="6"/>
      <c r="BA35" s="6" t="s">
        <v>73</v>
      </c>
    </row>
    <row r="36" spans="1:53">
      <c r="A36" s="7" t="s">
        <v>55</v>
      </c>
      <c r="B36" s="14" t="s">
        <v>103</v>
      </c>
      <c r="C36" s="24" t="s">
        <v>138</v>
      </c>
      <c r="D36" s="17" t="s">
        <v>106</v>
      </c>
      <c r="E36" s="6" t="s">
        <v>15</v>
      </c>
      <c r="F36" s="6" t="s">
        <v>59</v>
      </c>
      <c r="G36" s="10">
        <v>41862</v>
      </c>
      <c r="H36" s="8">
        <v>110</v>
      </c>
      <c r="I36" s="8">
        <v>0.3</v>
      </c>
      <c r="J36" s="8">
        <v>19.899999999999999</v>
      </c>
      <c r="K36" s="8">
        <v>110</v>
      </c>
      <c r="L36" s="8">
        <v>0.3</v>
      </c>
      <c r="M36" s="8">
        <v>19.899999999999999</v>
      </c>
      <c r="N36" s="8">
        <f t="shared" si="6"/>
        <v>0</v>
      </c>
      <c r="O36" s="8">
        <v>0</v>
      </c>
      <c r="P36" s="8">
        <v>0</v>
      </c>
      <c r="Q36" s="8">
        <v>0</v>
      </c>
      <c r="R36" s="8">
        <v>0</v>
      </c>
      <c r="S36" s="8">
        <v>0</v>
      </c>
      <c r="T36" s="8">
        <v>0</v>
      </c>
      <c r="U36" s="8">
        <f t="shared" si="7"/>
        <v>0</v>
      </c>
      <c r="V36" s="8">
        <v>110</v>
      </c>
      <c r="W36" s="8">
        <v>0.3</v>
      </c>
      <c r="X36" s="8">
        <v>19.899999999999999</v>
      </c>
      <c r="Y36" s="8">
        <v>110</v>
      </c>
      <c r="Z36" s="8">
        <v>0.3</v>
      </c>
      <c r="AA36" s="8">
        <v>19.899999999999999</v>
      </c>
      <c r="AB36" s="8">
        <f t="shared" si="8"/>
        <v>0</v>
      </c>
      <c r="AC36" s="8">
        <v>0</v>
      </c>
      <c r="AD36" s="8">
        <v>0</v>
      </c>
      <c r="AE36" s="8">
        <v>0</v>
      </c>
      <c r="AF36" s="8">
        <v>0</v>
      </c>
      <c r="AG36" s="8">
        <v>0</v>
      </c>
      <c r="AH36" s="8">
        <v>0</v>
      </c>
      <c r="AI36" s="8">
        <f t="shared" si="9"/>
        <v>0</v>
      </c>
      <c r="AJ36" s="8">
        <v>0</v>
      </c>
      <c r="AK36" s="8">
        <v>0</v>
      </c>
      <c r="AL36" s="8">
        <v>0</v>
      </c>
      <c r="AM36" s="8">
        <v>0</v>
      </c>
      <c r="AN36" s="8">
        <v>0</v>
      </c>
      <c r="AO36" s="8">
        <v>0</v>
      </c>
      <c r="AP36" s="8">
        <f t="shared" si="10"/>
        <v>0</v>
      </c>
      <c r="AQ36" s="8">
        <v>0</v>
      </c>
      <c r="AR36" s="8">
        <v>0</v>
      </c>
      <c r="AS36" s="8">
        <v>0</v>
      </c>
      <c r="AT36" s="8">
        <v>0</v>
      </c>
      <c r="AU36" s="8">
        <v>0</v>
      </c>
      <c r="AV36" s="8">
        <v>0</v>
      </c>
      <c r="AW36" s="8">
        <f t="shared" si="11"/>
        <v>0</v>
      </c>
      <c r="AX36" s="29">
        <v>20</v>
      </c>
      <c r="AY36" s="29">
        <v>20</v>
      </c>
      <c r="AZ36" s="6"/>
      <c r="BA36" s="6" t="s">
        <v>73</v>
      </c>
    </row>
    <row r="37" spans="1:53">
      <c r="A37" s="7" t="s">
        <v>55</v>
      </c>
      <c r="B37" s="20" t="s">
        <v>163</v>
      </c>
      <c r="C37" s="12" t="s">
        <v>81</v>
      </c>
      <c r="D37" s="20" t="s">
        <v>168</v>
      </c>
      <c r="E37" s="6" t="s">
        <v>15</v>
      </c>
      <c r="F37" s="22" t="s">
        <v>92</v>
      </c>
      <c r="G37" s="10">
        <v>41865</v>
      </c>
      <c r="H37" s="8">
        <v>1</v>
      </c>
      <c r="I37" s="8">
        <v>3.0000000000000001E-3</v>
      </c>
      <c r="J37" s="8">
        <v>0.1</v>
      </c>
      <c r="K37" s="8">
        <v>1.97</v>
      </c>
      <c r="L37" s="8">
        <f>1.97/365</f>
        <v>5.3972602739726025E-3</v>
      </c>
      <c r="M37" s="8">
        <v>0.17</v>
      </c>
      <c r="N37" s="8">
        <f t="shared" si="6"/>
        <v>2.3972602739726024E-3</v>
      </c>
      <c r="O37" s="8">
        <v>0</v>
      </c>
      <c r="P37" s="8">
        <v>0</v>
      </c>
      <c r="Q37" s="8">
        <v>0</v>
      </c>
      <c r="R37" s="8">
        <v>0</v>
      </c>
      <c r="S37" s="8">
        <v>0</v>
      </c>
      <c r="T37" s="8">
        <v>0</v>
      </c>
      <c r="U37" s="8">
        <f t="shared" si="7"/>
        <v>0</v>
      </c>
      <c r="V37" s="8">
        <v>1</v>
      </c>
      <c r="W37" s="8">
        <v>3.0000000000000001E-3</v>
      </c>
      <c r="X37" s="8">
        <v>0.1</v>
      </c>
      <c r="Y37" s="8">
        <v>1.97</v>
      </c>
      <c r="Z37" s="8">
        <f>1.97/365</f>
        <v>5.3972602739726025E-3</v>
      </c>
      <c r="AA37" s="8">
        <v>0.17</v>
      </c>
      <c r="AB37" s="8">
        <f t="shared" si="8"/>
        <v>2.3972602739726024E-3</v>
      </c>
      <c r="AC37" s="8">
        <v>0</v>
      </c>
      <c r="AD37" s="8">
        <v>0</v>
      </c>
      <c r="AE37" s="8">
        <v>0</v>
      </c>
      <c r="AF37" s="8">
        <v>0</v>
      </c>
      <c r="AG37" s="8">
        <v>0</v>
      </c>
      <c r="AH37" s="8">
        <v>0</v>
      </c>
      <c r="AI37" s="8">
        <f t="shared" si="9"/>
        <v>0</v>
      </c>
      <c r="AJ37" s="8">
        <v>0</v>
      </c>
      <c r="AK37" s="8">
        <v>0</v>
      </c>
      <c r="AL37" s="8">
        <v>0</v>
      </c>
      <c r="AM37" s="8">
        <v>0</v>
      </c>
      <c r="AN37" s="8">
        <v>0</v>
      </c>
      <c r="AO37" s="8">
        <v>0</v>
      </c>
      <c r="AP37" s="8">
        <f t="shared" si="10"/>
        <v>0</v>
      </c>
      <c r="AQ37" s="8">
        <v>0</v>
      </c>
      <c r="AR37" s="8">
        <v>0</v>
      </c>
      <c r="AS37" s="8">
        <v>0</v>
      </c>
      <c r="AT37" s="8">
        <v>0</v>
      </c>
      <c r="AU37" s="8">
        <v>0</v>
      </c>
      <c r="AV37" s="8">
        <v>0</v>
      </c>
      <c r="AW37" s="8">
        <f t="shared" si="11"/>
        <v>0</v>
      </c>
      <c r="AX37" s="29">
        <v>20</v>
      </c>
      <c r="AY37" s="29">
        <v>20</v>
      </c>
      <c r="AZ37" s="6"/>
      <c r="BA37" s="6" t="s">
        <v>73</v>
      </c>
    </row>
    <row r="38" spans="1:53">
      <c r="A38" s="7" t="s">
        <v>55</v>
      </c>
      <c r="B38" s="25" t="s">
        <v>308</v>
      </c>
      <c r="C38" s="25" t="s">
        <v>309</v>
      </c>
      <c r="D38" s="25" t="s">
        <v>307</v>
      </c>
      <c r="E38" s="6" t="s">
        <v>15</v>
      </c>
      <c r="F38" s="6" t="s">
        <v>56</v>
      </c>
      <c r="G38" s="10">
        <v>41896</v>
      </c>
      <c r="H38" s="8">
        <v>0</v>
      </c>
      <c r="I38" s="8">
        <v>0</v>
      </c>
      <c r="J38" s="8">
        <v>0</v>
      </c>
      <c r="K38" s="8">
        <v>7.0000000000000007E-2</v>
      </c>
      <c r="L38" s="8">
        <f>0.07/365</f>
        <v>1.9178082191780824E-4</v>
      </c>
      <c r="M38" s="8">
        <v>0.01</v>
      </c>
      <c r="N38" s="8">
        <f t="shared" si="6"/>
        <v>1.9178082191780824E-4</v>
      </c>
      <c r="O38" s="8">
        <v>0</v>
      </c>
      <c r="P38" s="8">
        <v>0</v>
      </c>
      <c r="Q38" s="8">
        <v>0</v>
      </c>
      <c r="R38" s="8">
        <v>0</v>
      </c>
      <c r="S38" s="8">
        <v>0</v>
      </c>
      <c r="T38" s="8">
        <v>0</v>
      </c>
      <c r="U38" s="8">
        <f t="shared" si="7"/>
        <v>0</v>
      </c>
      <c r="V38" s="8">
        <v>0</v>
      </c>
      <c r="W38" s="8">
        <v>0</v>
      </c>
      <c r="X38" s="8">
        <v>0</v>
      </c>
      <c r="Y38" s="8">
        <v>7.0000000000000007E-2</v>
      </c>
      <c r="Z38" s="8">
        <f>0.07/365</f>
        <v>1.9178082191780824E-4</v>
      </c>
      <c r="AA38" s="8">
        <v>0.01</v>
      </c>
      <c r="AB38" s="8">
        <f t="shared" si="8"/>
        <v>1.9178082191780824E-4</v>
      </c>
      <c r="AC38" s="8">
        <v>0</v>
      </c>
      <c r="AD38" s="8">
        <v>0</v>
      </c>
      <c r="AE38" s="8">
        <v>0</v>
      </c>
      <c r="AF38" s="8">
        <v>0</v>
      </c>
      <c r="AG38" s="8">
        <v>0</v>
      </c>
      <c r="AH38" s="8">
        <v>0</v>
      </c>
      <c r="AI38" s="8">
        <f t="shared" si="9"/>
        <v>0</v>
      </c>
      <c r="AJ38" s="8">
        <v>0</v>
      </c>
      <c r="AK38" s="8">
        <v>0</v>
      </c>
      <c r="AL38" s="8">
        <v>0</v>
      </c>
      <c r="AM38" s="8">
        <v>0</v>
      </c>
      <c r="AN38" s="8">
        <v>0</v>
      </c>
      <c r="AO38" s="8">
        <v>0</v>
      </c>
      <c r="AP38" s="8">
        <f t="shared" si="10"/>
        <v>0</v>
      </c>
      <c r="AQ38" s="8">
        <v>0</v>
      </c>
      <c r="AR38" s="8">
        <v>0</v>
      </c>
      <c r="AS38" s="8">
        <v>0</v>
      </c>
      <c r="AT38" s="8">
        <v>0</v>
      </c>
      <c r="AU38" s="8">
        <v>0</v>
      </c>
      <c r="AV38" s="8">
        <v>0</v>
      </c>
      <c r="AW38" s="8">
        <f t="shared" si="11"/>
        <v>0</v>
      </c>
      <c r="AX38" s="29">
        <v>20</v>
      </c>
      <c r="AY38" s="29">
        <v>20</v>
      </c>
      <c r="AZ38" s="6"/>
      <c r="BA38" s="6" t="s">
        <v>73</v>
      </c>
    </row>
    <row r="39" spans="1:53">
      <c r="A39" s="7" t="s">
        <v>55</v>
      </c>
      <c r="B39" s="21" t="s">
        <v>189</v>
      </c>
      <c r="C39" s="12" t="s">
        <v>191</v>
      </c>
      <c r="D39" s="16" t="s">
        <v>190</v>
      </c>
      <c r="E39" s="6" t="s">
        <v>15</v>
      </c>
      <c r="F39" s="6" t="s">
        <v>59</v>
      </c>
      <c r="G39" s="10">
        <v>41899</v>
      </c>
      <c r="H39" s="8">
        <v>2343.15</v>
      </c>
      <c r="I39" s="8">
        <f>2343.15/365</f>
        <v>6.4195890410958905</v>
      </c>
      <c r="J39" s="8">
        <v>370.1</v>
      </c>
      <c r="K39" s="8">
        <v>2343.15</v>
      </c>
      <c r="L39" s="8">
        <f>2343.15/365</f>
        <v>6.4195890410958905</v>
      </c>
      <c r="M39" s="8">
        <v>370.1</v>
      </c>
      <c r="N39" s="8">
        <f t="shared" si="6"/>
        <v>0</v>
      </c>
      <c r="O39" s="8">
        <v>0</v>
      </c>
      <c r="P39" s="8">
        <v>0</v>
      </c>
      <c r="Q39" s="8">
        <v>0</v>
      </c>
      <c r="R39" s="8">
        <v>0</v>
      </c>
      <c r="S39" s="8">
        <v>0</v>
      </c>
      <c r="T39" s="8">
        <v>0</v>
      </c>
      <c r="U39" s="8">
        <f t="shared" si="7"/>
        <v>0</v>
      </c>
      <c r="V39" s="8">
        <v>2343.15</v>
      </c>
      <c r="W39" s="8">
        <f>2343.15/365</f>
        <v>6.4195890410958905</v>
      </c>
      <c r="X39" s="8">
        <v>370.1</v>
      </c>
      <c r="Y39" s="8">
        <v>2343.15</v>
      </c>
      <c r="Z39" s="8">
        <f>2343.15/365</f>
        <v>6.4195890410958905</v>
      </c>
      <c r="AA39" s="8">
        <v>370.1</v>
      </c>
      <c r="AB39" s="8">
        <f t="shared" si="8"/>
        <v>0</v>
      </c>
      <c r="AC39" s="8">
        <v>0</v>
      </c>
      <c r="AD39" s="8">
        <v>0</v>
      </c>
      <c r="AE39" s="8">
        <v>0</v>
      </c>
      <c r="AF39" s="8">
        <v>0</v>
      </c>
      <c r="AG39" s="8">
        <v>0</v>
      </c>
      <c r="AH39" s="8">
        <v>0</v>
      </c>
      <c r="AI39" s="8">
        <f t="shared" si="9"/>
        <v>0</v>
      </c>
      <c r="AJ39" s="8">
        <v>0</v>
      </c>
      <c r="AK39" s="8">
        <v>0</v>
      </c>
      <c r="AL39" s="8">
        <v>0</v>
      </c>
      <c r="AM39" s="8">
        <v>0</v>
      </c>
      <c r="AN39" s="8">
        <v>0</v>
      </c>
      <c r="AO39" s="8">
        <v>0</v>
      </c>
      <c r="AP39" s="8">
        <f t="shared" si="10"/>
        <v>0</v>
      </c>
      <c r="AQ39" s="8">
        <v>0</v>
      </c>
      <c r="AR39" s="8">
        <v>0</v>
      </c>
      <c r="AS39" s="8">
        <v>0</v>
      </c>
      <c r="AT39" s="8">
        <v>0</v>
      </c>
      <c r="AU39" s="8">
        <v>0</v>
      </c>
      <c r="AV39" s="8">
        <v>0</v>
      </c>
      <c r="AW39" s="8">
        <f t="shared" si="11"/>
        <v>0</v>
      </c>
      <c r="AX39" s="29">
        <v>20</v>
      </c>
      <c r="AY39" s="29">
        <v>20</v>
      </c>
      <c r="AZ39" s="6"/>
      <c r="BA39" s="6" t="s">
        <v>73</v>
      </c>
    </row>
    <row r="40" spans="1:53">
      <c r="A40" s="7" t="s">
        <v>55</v>
      </c>
      <c r="B40" s="12" t="s">
        <v>173</v>
      </c>
      <c r="C40" s="12" t="s">
        <v>184</v>
      </c>
      <c r="D40" s="16" t="s">
        <v>182</v>
      </c>
      <c r="E40" s="6" t="s">
        <v>15</v>
      </c>
      <c r="F40" s="6" t="s">
        <v>57</v>
      </c>
      <c r="G40" s="10">
        <v>41904</v>
      </c>
      <c r="H40" s="8">
        <v>333.53</v>
      </c>
      <c r="I40" s="8">
        <v>0.91</v>
      </c>
      <c r="J40" s="8">
        <v>44.41</v>
      </c>
      <c r="K40" s="8">
        <v>336.36</v>
      </c>
      <c r="L40" s="8">
        <f>336.36/365</f>
        <v>0.92153424657534255</v>
      </c>
      <c r="M40" s="8">
        <v>43.59</v>
      </c>
      <c r="N40" s="8">
        <f t="shared" si="6"/>
        <v>1.1534246575342522E-2</v>
      </c>
      <c r="O40" s="8">
        <v>0</v>
      </c>
      <c r="P40" s="8">
        <v>0</v>
      </c>
      <c r="Q40" s="8">
        <v>0</v>
      </c>
      <c r="R40" s="8">
        <v>0</v>
      </c>
      <c r="S40" s="8">
        <v>0</v>
      </c>
      <c r="T40" s="8">
        <v>0</v>
      </c>
      <c r="U40" s="8">
        <f t="shared" si="7"/>
        <v>0</v>
      </c>
      <c r="V40" s="8">
        <v>333.53</v>
      </c>
      <c r="W40" s="8">
        <v>0.91</v>
      </c>
      <c r="X40" s="8">
        <v>44.41</v>
      </c>
      <c r="Y40" s="8">
        <v>33.53</v>
      </c>
      <c r="Z40" s="8">
        <v>0.91</v>
      </c>
      <c r="AA40" s="8">
        <v>44.41</v>
      </c>
      <c r="AB40" s="8">
        <f t="shared" si="8"/>
        <v>0</v>
      </c>
      <c r="AC40" s="8">
        <v>0</v>
      </c>
      <c r="AD40" s="8">
        <v>0</v>
      </c>
      <c r="AE40" s="8">
        <v>0</v>
      </c>
      <c r="AF40" s="8">
        <v>0</v>
      </c>
      <c r="AG40" s="8">
        <v>0</v>
      </c>
      <c r="AH40" s="8">
        <v>0</v>
      </c>
      <c r="AI40" s="8">
        <f t="shared" si="9"/>
        <v>0</v>
      </c>
      <c r="AJ40" s="8">
        <v>0</v>
      </c>
      <c r="AK40" s="8">
        <v>0</v>
      </c>
      <c r="AL40" s="8">
        <v>0</v>
      </c>
      <c r="AM40" s="8">
        <v>0</v>
      </c>
      <c r="AN40" s="8">
        <v>0</v>
      </c>
      <c r="AO40" s="8">
        <v>0</v>
      </c>
      <c r="AP40" s="8">
        <f t="shared" si="10"/>
        <v>0</v>
      </c>
      <c r="AQ40" s="8">
        <v>0</v>
      </c>
      <c r="AR40" s="8">
        <v>0</v>
      </c>
      <c r="AS40" s="8">
        <v>0</v>
      </c>
      <c r="AT40" s="8">
        <v>0</v>
      </c>
      <c r="AU40" s="8">
        <v>0</v>
      </c>
      <c r="AV40" s="8">
        <v>0</v>
      </c>
      <c r="AW40" s="8">
        <f t="shared" si="11"/>
        <v>0</v>
      </c>
      <c r="AX40" s="29">
        <v>20</v>
      </c>
      <c r="AY40" s="29">
        <v>20</v>
      </c>
      <c r="AZ40" s="6"/>
      <c r="BA40" s="6" t="s">
        <v>73</v>
      </c>
    </row>
    <row r="41" spans="1:53">
      <c r="A41" s="7" t="s">
        <v>55</v>
      </c>
      <c r="B41" s="23" t="s">
        <v>371</v>
      </c>
      <c r="C41" s="23" t="s">
        <v>372</v>
      </c>
      <c r="D41" s="25" t="s">
        <v>370</v>
      </c>
      <c r="E41" s="6" t="s">
        <v>15</v>
      </c>
      <c r="F41" s="6" t="s">
        <v>92</v>
      </c>
      <c r="G41" s="10">
        <v>41905</v>
      </c>
      <c r="H41" s="8">
        <v>1.97</v>
      </c>
      <c r="I41" s="8">
        <f>1.97/365</f>
        <v>5.3972602739726025E-3</v>
      </c>
      <c r="J41" s="8">
        <v>0.17</v>
      </c>
      <c r="K41" s="8">
        <v>1.53</v>
      </c>
      <c r="L41" s="8">
        <f>1.53/365</f>
        <v>4.1917808219178081E-3</v>
      </c>
      <c r="M41" s="8">
        <v>0.12</v>
      </c>
      <c r="N41" s="8">
        <f t="shared" si="6"/>
        <v>-1.2054794520547944E-3</v>
      </c>
      <c r="O41" s="8">
        <v>0</v>
      </c>
      <c r="P41" s="8">
        <v>0</v>
      </c>
      <c r="Q41" s="8">
        <v>0</v>
      </c>
      <c r="R41" s="8">
        <v>0</v>
      </c>
      <c r="S41" s="8">
        <v>0</v>
      </c>
      <c r="T41" s="8">
        <v>0</v>
      </c>
      <c r="U41" s="8">
        <f t="shared" si="7"/>
        <v>0</v>
      </c>
      <c r="V41" s="8"/>
      <c r="W41" s="8"/>
      <c r="X41" s="8"/>
      <c r="Y41" s="8"/>
      <c r="Z41" s="8"/>
      <c r="AA41" s="8"/>
      <c r="AB41" s="8">
        <f t="shared" si="8"/>
        <v>0</v>
      </c>
      <c r="AC41" s="8">
        <v>0</v>
      </c>
      <c r="AD41" s="8">
        <v>0</v>
      </c>
      <c r="AE41" s="8">
        <v>0</v>
      </c>
      <c r="AF41" s="8">
        <v>0</v>
      </c>
      <c r="AG41" s="8">
        <v>0</v>
      </c>
      <c r="AH41" s="8">
        <v>0</v>
      </c>
      <c r="AI41" s="8">
        <f t="shared" si="9"/>
        <v>0</v>
      </c>
      <c r="AJ41" s="8">
        <v>0</v>
      </c>
      <c r="AK41" s="8">
        <v>0</v>
      </c>
      <c r="AL41" s="8">
        <v>0</v>
      </c>
      <c r="AM41" s="8">
        <v>0</v>
      </c>
      <c r="AN41" s="8">
        <v>0</v>
      </c>
      <c r="AO41" s="8">
        <v>0</v>
      </c>
      <c r="AP41" s="8">
        <f t="shared" si="10"/>
        <v>0</v>
      </c>
      <c r="AQ41" s="8">
        <v>0</v>
      </c>
      <c r="AR41" s="8">
        <v>0</v>
      </c>
      <c r="AS41" s="8">
        <v>0</v>
      </c>
      <c r="AT41" s="8">
        <v>0</v>
      </c>
      <c r="AU41" s="8">
        <v>0</v>
      </c>
      <c r="AV41" s="8">
        <v>0</v>
      </c>
      <c r="AW41" s="8">
        <f t="shared" si="11"/>
        <v>0</v>
      </c>
      <c r="AX41" s="29">
        <v>20</v>
      </c>
      <c r="AY41" s="29">
        <v>20</v>
      </c>
      <c r="AZ41" s="6"/>
      <c r="BA41" s="6" t="s">
        <v>73</v>
      </c>
    </row>
    <row r="42" spans="1:53">
      <c r="A42" s="7" t="s">
        <v>55</v>
      </c>
      <c r="B42" s="20" t="s">
        <v>162</v>
      </c>
      <c r="C42" s="12" t="s">
        <v>172</v>
      </c>
      <c r="D42" s="20" t="s">
        <v>167</v>
      </c>
      <c r="E42" s="6" t="s">
        <v>101</v>
      </c>
      <c r="F42" s="22" t="s">
        <v>85</v>
      </c>
      <c r="G42" s="10">
        <v>41906</v>
      </c>
      <c r="H42" s="8">
        <v>7.78</v>
      </c>
      <c r="I42" s="8">
        <v>2.1000000000000001E-2</v>
      </c>
      <c r="J42" s="8">
        <v>1.1499999999999999</v>
      </c>
      <c r="K42" s="8">
        <v>7.78</v>
      </c>
      <c r="L42" s="8">
        <v>2.1000000000000001E-2</v>
      </c>
      <c r="M42" s="8">
        <v>1.1499999999999999</v>
      </c>
      <c r="N42" s="8">
        <f t="shared" si="6"/>
        <v>0</v>
      </c>
      <c r="O42" s="8">
        <v>7.78</v>
      </c>
      <c r="P42" s="8">
        <v>2.1000000000000001E-2</v>
      </c>
      <c r="Q42" s="8">
        <v>1.1499999999999999</v>
      </c>
      <c r="R42" s="8">
        <v>7.78</v>
      </c>
      <c r="S42" s="8">
        <v>2.1000000000000001E-2</v>
      </c>
      <c r="T42" s="8">
        <v>1.1499999999999999</v>
      </c>
      <c r="U42" s="8">
        <f t="shared" si="7"/>
        <v>0</v>
      </c>
      <c r="V42" s="8">
        <v>0</v>
      </c>
      <c r="W42" s="8">
        <v>0</v>
      </c>
      <c r="X42" s="8">
        <v>0</v>
      </c>
      <c r="Y42" s="8">
        <v>0</v>
      </c>
      <c r="Z42" s="8">
        <v>0</v>
      </c>
      <c r="AA42" s="8">
        <v>0</v>
      </c>
      <c r="AB42" s="8">
        <f t="shared" si="8"/>
        <v>0</v>
      </c>
      <c r="AC42" s="8">
        <v>0</v>
      </c>
      <c r="AD42" s="8">
        <v>0</v>
      </c>
      <c r="AE42" s="8">
        <v>0</v>
      </c>
      <c r="AF42" s="8">
        <v>0</v>
      </c>
      <c r="AG42" s="8">
        <v>0</v>
      </c>
      <c r="AH42" s="8">
        <v>0</v>
      </c>
      <c r="AI42" s="8">
        <f t="shared" si="9"/>
        <v>0</v>
      </c>
      <c r="AJ42" s="8">
        <v>0</v>
      </c>
      <c r="AK42" s="8">
        <v>0</v>
      </c>
      <c r="AL42" s="8">
        <v>0</v>
      </c>
      <c r="AM42" s="8">
        <v>0</v>
      </c>
      <c r="AN42" s="8">
        <v>0</v>
      </c>
      <c r="AO42" s="8">
        <v>0</v>
      </c>
      <c r="AP42" s="8">
        <f t="shared" si="10"/>
        <v>0</v>
      </c>
      <c r="AQ42" s="8">
        <v>0</v>
      </c>
      <c r="AR42" s="8">
        <v>0</v>
      </c>
      <c r="AS42" s="8">
        <v>0</v>
      </c>
      <c r="AT42" s="8">
        <v>0</v>
      </c>
      <c r="AU42" s="8">
        <v>0</v>
      </c>
      <c r="AV42" s="8">
        <v>0</v>
      </c>
      <c r="AW42" s="8">
        <f t="shared" si="11"/>
        <v>0</v>
      </c>
      <c r="AX42" s="29">
        <v>20</v>
      </c>
      <c r="AY42" s="29">
        <v>20</v>
      </c>
      <c r="AZ42" s="6"/>
      <c r="BA42" s="6" t="s">
        <v>73</v>
      </c>
    </row>
    <row r="43" spans="1:53">
      <c r="A43" s="7" t="s">
        <v>55</v>
      </c>
      <c r="B43" s="21" t="s">
        <v>176</v>
      </c>
      <c r="C43" s="12" t="s">
        <v>187</v>
      </c>
      <c r="D43" s="16" t="s">
        <v>180</v>
      </c>
      <c r="E43" s="6" t="s">
        <v>15</v>
      </c>
      <c r="F43" s="6" t="s">
        <v>56</v>
      </c>
      <c r="G43" s="10">
        <v>41915</v>
      </c>
      <c r="H43" s="8">
        <v>12.78</v>
      </c>
      <c r="I43" s="8">
        <v>0.04</v>
      </c>
      <c r="J43" s="8">
        <v>0.42</v>
      </c>
      <c r="K43" s="8">
        <v>12.78</v>
      </c>
      <c r="L43" s="8">
        <v>0.04</v>
      </c>
      <c r="M43" s="8">
        <v>0.42</v>
      </c>
      <c r="N43" s="8">
        <f t="shared" si="6"/>
        <v>0</v>
      </c>
      <c r="O43" s="8">
        <v>0</v>
      </c>
      <c r="P43" s="8">
        <v>0</v>
      </c>
      <c r="Q43" s="8">
        <v>0</v>
      </c>
      <c r="R43" s="8">
        <v>0</v>
      </c>
      <c r="S43" s="8">
        <v>0</v>
      </c>
      <c r="T43" s="8">
        <v>0</v>
      </c>
      <c r="U43" s="8">
        <f t="shared" si="7"/>
        <v>0</v>
      </c>
      <c r="V43" s="8">
        <v>12.78</v>
      </c>
      <c r="W43" s="8">
        <v>0.04</v>
      </c>
      <c r="X43" s="8">
        <v>0.42</v>
      </c>
      <c r="Y43" s="8">
        <v>12.78</v>
      </c>
      <c r="Z43" s="8">
        <v>0.04</v>
      </c>
      <c r="AA43" s="8">
        <v>0.42</v>
      </c>
      <c r="AB43" s="8">
        <f t="shared" si="8"/>
        <v>0</v>
      </c>
      <c r="AC43" s="8">
        <v>0</v>
      </c>
      <c r="AD43" s="8">
        <v>0</v>
      </c>
      <c r="AE43" s="8">
        <v>0</v>
      </c>
      <c r="AF43" s="8">
        <v>0</v>
      </c>
      <c r="AG43" s="8">
        <v>0</v>
      </c>
      <c r="AH43" s="8">
        <v>0</v>
      </c>
      <c r="AI43" s="8">
        <f t="shared" si="9"/>
        <v>0</v>
      </c>
      <c r="AJ43" s="8">
        <v>0</v>
      </c>
      <c r="AK43" s="8">
        <v>0</v>
      </c>
      <c r="AL43" s="8">
        <v>0</v>
      </c>
      <c r="AM43" s="8">
        <v>0</v>
      </c>
      <c r="AN43" s="8">
        <v>0</v>
      </c>
      <c r="AO43" s="8">
        <v>0</v>
      </c>
      <c r="AP43" s="8">
        <f t="shared" si="10"/>
        <v>0</v>
      </c>
      <c r="AQ43" s="8">
        <v>0</v>
      </c>
      <c r="AR43" s="8">
        <v>0</v>
      </c>
      <c r="AS43" s="8">
        <v>0</v>
      </c>
      <c r="AT43" s="8">
        <v>0</v>
      </c>
      <c r="AU43" s="8">
        <v>0</v>
      </c>
      <c r="AV43" s="8">
        <v>0</v>
      </c>
      <c r="AW43" s="8">
        <f t="shared" si="11"/>
        <v>0</v>
      </c>
      <c r="AX43" s="29">
        <v>20</v>
      </c>
      <c r="AY43" s="29">
        <v>20</v>
      </c>
      <c r="AZ43" s="6"/>
      <c r="BA43" s="6" t="s">
        <v>73</v>
      </c>
    </row>
    <row r="44" spans="1:53" ht="26.25">
      <c r="A44" s="7" t="s">
        <v>55</v>
      </c>
      <c r="B44" s="25" t="s">
        <v>319</v>
      </c>
      <c r="C44" s="25" t="s">
        <v>320</v>
      </c>
      <c r="D44" s="28" t="s">
        <v>318</v>
      </c>
      <c r="E44" s="6" t="s">
        <v>15</v>
      </c>
      <c r="F44" s="6" t="s">
        <v>58</v>
      </c>
      <c r="G44" s="27">
        <v>41915</v>
      </c>
      <c r="H44" s="8">
        <v>7.57</v>
      </c>
      <c r="I44" s="8">
        <f>7.57/365</f>
        <v>2.0739726027397262E-2</v>
      </c>
      <c r="J44" s="8">
        <v>0.98</v>
      </c>
      <c r="K44" s="8">
        <v>7.57</v>
      </c>
      <c r="L44" s="8">
        <f>7.57/365</f>
        <v>2.0739726027397262E-2</v>
      </c>
      <c r="M44" s="8">
        <v>0.98</v>
      </c>
      <c r="N44" s="8">
        <f t="shared" si="6"/>
        <v>0</v>
      </c>
      <c r="O44" s="8">
        <v>0</v>
      </c>
      <c r="P44" s="8">
        <v>0</v>
      </c>
      <c r="Q44" s="8">
        <v>0</v>
      </c>
      <c r="R44" s="8">
        <v>0</v>
      </c>
      <c r="S44" s="8">
        <v>0</v>
      </c>
      <c r="T44" s="8">
        <v>0</v>
      </c>
      <c r="U44" s="8">
        <f t="shared" si="7"/>
        <v>0</v>
      </c>
      <c r="V44" s="8">
        <v>7.57</v>
      </c>
      <c r="W44" s="8">
        <f>7.57/365</f>
        <v>2.0739726027397262E-2</v>
      </c>
      <c r="X44" s="8">
        <v>0.98</v>
      </c>
      <c r="Y44" s="8">
        <v>7.57</v>
      </c>
      <c r="Z44" s="8">
        <f>7.57/365</f>
        <v>2.0739726027397262E-2</v>
      </c>
      <c r="AA44" s="8">
        <v>0.98</v>
      </c>
      <c r="AB44" s="8">
        <f t="shared" si="8"/>
        <v>0</v>
      </c>
      <c r="AC44" s="8">
        <v>0</v>
      </c>
      <c r="AD44" s="8">
        <v>0</v>
      </c>
      <c r="AE44" s="8">
        <v>0</v>
      </c>
      <c r="AF44" s="8">
        <v>0</v>
      </c>
      <c r="AG44" s="8">
        <v>0</v>
      </c>
      <c r="AH44" s="8">
        <v>0</v>
      </c>
      <c r="AI44" s="8">
        <f t="shared" si="9"/>
        <v>0</v>
      </c>
      <c r="AJ44" s="8">
        <v>0</v>
      </c>
      <c r="AK44" s="8">
        <v>0</v>
      </c>
      <c r="AL44" s="8">
        <v>0</v>
      </c>
      <c r="AM44" s="8">
        <v>0</v>
      </c>
      <c r="AN44" s="8">
        <v>0</v>
      </c>
      <c r="AO44" s="8">
        <v>0</v>
      </c>
      <c r="AP44" s="8">
        <f t="shared" si="10"/>
        <v>0</v>
      </c>
      <c r="AQ44" s="8">
        <v>0</v>
      </c>
      <c r="AR44" s="8">
        <v>0</v>
      </c>
      <c r="AS44" s="8">
        <v>0</v>
      </c>
      <c r="AT44" s="8">
        <v>0</v>
      </c>
      <c r="AU44" s="8">
        <v>0</v>
      </c>
      <c r="AV44" s="8">
        <v>0</v>
      </c>
      <c r="AW44" s="8">
        <f t="shared" si="11"/>
        <v>0</v>
      </c>
      <c r="AX44" s="29">
        <v>20</v>
      </c>
      <c r="AY44" s="29">
        <v>20</v>
      </c>
      <c r="AZ44" s="6"/>
      <c r="BA44" s="6" t="s">
        <v>73</v>
      </c>
    </row>
    <row r="45" spans="1:53">
      <c r="A45" s="7" t="s">
        <v>55</v>
      </c>
      <c r="B45" s="23" t="s">
        <v>330</v>
      </c>
      <c r="C45" s="23" t="s">
        <v>335</v>
      </c>
      <c r="D45" s="28" t="s">
        <v>325</v>
      </c>
      <c r="E45" s="6" t="s">
        <v>15</v>
      </c>
      <c r="F45" s="6" t="s">
        <v>59</v>
      </c>
      <c r="G45" s="10">
        <v>41915</v>
      </c>
      <c r="H45" s="8">
        <v>0</v>
      </c>
      <c r="I45" s="8">
        <v>0</v>
      </c>
      <c r="J45" s="8">
        <v>0</v>
      </c>
      <c r="K45" s="8">
        <v>3.41</v>
      </c>
      <c r="L45" s="8">
        <f>3.41/365</f>
        <v>9.3424657534246572E-3</v>
      </c>
      <c r="M45" s="8">
        <v>0.4</v>
      </c>
      <c r="N45" s="8">
        <f t="shared" si="6"/>
        <v>9.3424657534246572E-3</v>
      </c>
      <c r="O45" s="8">
        <v>0</v>
      </c>
      <c r="P45" s="8">
        <v>0</v>
      </c>
      <c r="Q45" s="8">
        <v>0</v>
      </c>
      <c r="R45" s="8">
        <v>0</v>
      </c>
      <c r="S45" s="8">
        <v>0</v>
      </c>
      <c r="T45" s="8">
        <v>0</v>
      </c>
      <c r="U45" s="8">
        <f t="shared" si="7"/>
        <v>0</v>
      </c>
      <c r="V45" s="8">
        <v>0</v>
      </c>
      <c r="W45" s="8">
        <v>0</v>
      </c>
      <c r="X45" s="8">
        <v>0</v>
      </c>
      <c r="Y45" s="8">
        <v>3.41</v>
      </c>
      <c r="Z45" s="8">
        <f>3.41/365</f>
        <v>9.3424657534246572E-3</v>
      </c>
      <c r="AA45" s="8">
        <v>0.4</v>
      </c>
      <c r="AB45" s="8">
        <f t="shared" si="8"/>
        <v>9.3424657534246572E-3</v>
      </c>
      <c r="AC45" s="8">
        <v>0</v>
      </c>
      <c r="AD45" s="8">
        <v>0</v>
      </c>
      <c r="AE45" s="8">
        <v>0</v>
      </c>
      <c r="AF45" s="8">
        <v>0</v>
      </c>
      <c r="AG45" s="8">
        <v>0</v>
      </c>
      <c r="AH45" s="8">
        <v>0</v>
      </c>
      <c r="AI45" s="8">
        <f t="shared" si="9"/>
        <v>0</v>
      </c>
      <c r="AJ45" s="8">
        <v>0</v>
      </c>
      <c r="AK45" s="8">
        <v>0</v>
      </c>
      <c r="AL45" s="8">
        <v>0</v>
      </c>
      <c r="AM45" s="8">
        <v>0</v>
      </c>
      <c r="AN45" s="8">
        <v>0</v>
      </c>
      <c r="AO45" s="8">
        <v>0</v>
      </c>
      <c r="AP45" s="8">
        <f t="shared" si="10"/>
        <v>0</v>
      </c>
      <c r="AQ45" s="8">
        <v>0</v>
      </c>
      <c r="AR45" s="8">
        <v>0</v>
      </c>
      <c r="AS45" s="8">
        <v>0</v>
      </c>
      <c r="AT45" s="8">
        <v>0</v>
      </c>
      <c r="AU45" s="8">
        <v>0</v>
      </c>
      <c r="AV45" s="8">
        <v>0</v>
      </c>
      <c r="AW45" s="8">
        <f t="shared" si="11"/>
        <v>0</v>
      </c>
      <c r="AX45" s="29">
        <v>20</v>
      </c>
      <c r="AY45" s="29">
        <v>20</v>
      </c>
      <c r="AZ45" s="6"/>
      <c r="BA45" s="6" t="s">
        <v>73</v>
      </c>
    </row>
    <row r="46" spans="1:53">
      <c r="A46" s="7" t="s">
        <v>55</v>
      </c>
      <c r="B46" s="21" t="s">
        <v>174</v>
      </c>
      <c r="C46" s="12" t="s">
        <v>185</v>
      </c>
      <c r="D46" s="16" t="s">
        <v>178</v>
      </c>
      <c r="E46" s="6" t="s">
        <v>15</v>
      </c>
      <c r="F46" s="6" t="s">
        <v>57</v>
      </c>
      <c r="G46" s="10">
        <v>41918</v>
      </c>
      <c r="H46" s="8">
        <v>131.91</v>
      </c>
      <c r="I46" s="8">
        <v>0.36</v>
      </c>
      <c r="J46" s="8">
        <v>131.91</v>
      </c>
      <c r="K46" s="8">
        <v>133.49</v>
      </c>
      <c r="L46" s="8">
        <f>133.49/365</f>
        <v>0.36572602739726029</v>
      </c>
      <c r="M46" s="8">
        <v>133.49</v>
      </c>
      <c r="N46" s="8">
        <f t="shared" si="6"/>
        <v>5.7260273972603026E-3</v>
      </c>
      <c r="O46" s="8">
        <v>0</v>
      </c>
      <c r="P46" s="8">
        <v>0</v>
      </c>
      <c r="Q46" s="8">
        <v>0</v>
      </c>
      <c r="R46" s="8">
        <v>0</v>
      </c>
      <c r="S46" s="8">
        <v>0</v>
      </c>
      <c r="T46" s="8">
        <v>0</v>
      </c>
      <c r="U46" s="8">
        <f t="shared" si="7"/>
        <v>0</v>
      </c>
      <c r="V46" s="8">
        <v>131.91</v>
      </c>
      <c r="W46" s="8">
        <v>0.36</v>
      </c>
      <c r="X46" s="8">
        <v>131.91</v>
      </c>
      <c r="Y46" s="8">
        <v>133.49</v>
      </c>
      <c r="Z46" s="8">
        <f>133.49/365</f>
        <v>0.36572602739726029</v>
      </c>
      <c r="AA46" s="8">
        <v>133.49</v>
      </c>
      <c r="AB46" s="8">
        <f t="shared" si="8"/>
        <v>5.7260273972603026E-3</v>
      </c>
      <c r="AC46" s="8">
        <v>0</v>
      </c>
      <c r="AD46" s="8">
        <v>0</v>
      </c>
      <c r="AE46" s="8">
        <v>0</v>
      </c>
      <c r="AF46" s="8">
        <v>0</v>
      </c>
      <c r="AG46" s="8">
        <v>0</v>
      </c>
      <c r="AH46" s="8">
        <v>0</v>
      </c>
      <c r="AI46" s="8">
        <f t="shared" si="9"/>
        <v>0</v>
      </c>
      <c r="AJ46" s="8">
        <v>0</v>
      </c>
      <c r="AK46" s="8">
        <v>0</v>
      </c>
      <c r="AL46" s="8">
        <v>0</v>
      </c>
      <c r="AM46" s="8">
        <v>0</v>
      </c>
      <c r="AN46" s="8">
        <v>0</v>
      </c>
      <c r="AO46" s="8">
        <v>0</v>
      </c>
      <c r="AP46" s="8">
        <f t="shared" si="10"/>
        <v>0</v>
      </c>
      <c r="AQ46" s="8">
        <v>0</v>
      </c>
      <c r="AR46" s="8">
        <v>0</v>
      </c>
      <c r="AS46" s="8">
        <v>0</v>
      </c>
      <c r="AT46" s="8">
        <v>0</v>
      </c>
      <c r="AU46" s="8">
        <v>0</v>
      </c>
      <c r="AV46" s="8">
        <v>0</v>
      </c>
      <c r="AW46" s="8">
        <f t="shared" si="11"/>
        <v>0</v>
      </c>
      <c r="AX46" s="29">
        <v>20</v>
      </c>
      <c r="AY46" s="29">
        <v>20</v>
      </c>
      <c r="AZ46" s="6" t="s">
        <v>183</v>
      </c>
      <c r="BA46" s="6" t="s">
        <v>73</v>
      </c>
    </row>
    <row r="47" spans="1:53">
      <c r="A47" s="7" t="s">
        <v>55</v>
      </c>
      <c r="B47" s="21" t="s">
        <v>175</v>
      </c>
      <c r="C47" s="12" t="s">
        <v>186</v>
      </c>
      <c r="D47" s="16" t="s">
        <v>179</v>
      </c>
      <c r="E47" s="6" t="s">
        <v>15</v>
      </c>
      <c r="F47" s="6" t="s">
        <v>59</v>
      </c>
      <c r="G47" s="10">
        <v>41946</v>
      </c>
      <c r="H47" s="8">
        <v>123.75</v>
      </c>
      <c r="I47" s="8">
        <v>0.34</v>
      </c>
      <c r="J47" s="8">
        <v>22.3</v>
      </c>
      <c r="K47" s="8">
        <v>121.94</v>
      </c>
      <c r="L47" s="8">
        <f>121.94/365</f>
        <v>0.33408219178082194</v>
      </c>
      <c r="M47" s="8">
        <v>22.13</v>
      </c>
      <c r="N47" s="8">
        <f t="shared" si="6"/>
        <v>-5.917808219178089E-3</v>
      </c>
      <c r="O47" s="8">
        <v>0</v>
      </c>
      <c r="P47" s="8">
        <v>0</v>
      </c>
      <c r="Q47" s="8">
        <v>0</v>
      </c>
      <c r="R47" s="8">
        <v>0</v>
      </c>
      <c r="S47" s="8">
        <v>0</v>
      </c>
      <c r="T47" s="8">
        <v>0</v>
      </c>
      <c r="U47" s="8">
        <f t="shared" si="7"/>
        <v>0</v>
      </c>
      <c r="V47" s="8">
        <v>123.75</v>
      </c>
      <c r="W47" s="8">
        <v>0.34</v>
      </c>
      <c r="X47" s="8">
        <v>22.3</v>
      </c>
      <c r="Y47" s="8">
        <v>121.94</v>
      </c>
      <c r="Z47" s="8">
        <f>121.94/365</f>
        <v>0.33408219178082194</v>
      </c>
      <c r="AA47" s="8">
        <v>22.13</v>
      </c>
      <c r="AB47" s="8">
        <f t="shared" si="8"/>
        <v>-5.917808219178089E-3</v>
      </c>
      <c r="AC47" s="8">
        <v>0</v>
      </c>
      <c r="AD47" s="8">
        <v>0</v>
      </c>
      <c r="AE47" s="8">
        <v>0</v>
      </c>
      <c r="AF47" s="8">
        <v>0</v>
      </c>
      <c r="AG47" s="8">
        <v>0</v>
      </c>
      <c r="AH47" s="8">
        <v>0</v>
      </c>
      <c r="AI47" s="8">
        <f t="shared" si="9"/>
        <v>0</v>
      </c>
      <c r="AJ47" s="8">
        <v>0</v>
      </c>
      <c r="AK47" s="8">
        <v>0</v>
      </c>
      <c r="AL47" s="8">
        <v>0</v>
      </c>
      <c r="AM47" s="8">
        <v>0</v>
      </c>
      <c r="AN47" s="8">
        <v>0</v>
      </c>
      <c r="AO47" s="8">
        <v>0</v>
      </c>
      <c r="AP47" s="8">
        <f t="shared" si="10"/>
        <v>0</v>
      </c>
      <c r="AQ47" s="8">
        <v>0</v>
      </c>
      <c r="AR47" s="8">
        <v>0</v>
      </c>
      <c r="AS47" s="8">
        <v>0</v>
      </c>
      <c r="AT47" s="8">
        <v>0</v>
      </c>
      <c r="AU47" s="8">
        <v>0</v>
      </c>
      <c r="AV47" s="8">
        <v>0</v>
      </c>
      <c r="AW47" s="8">
        <f t="shared" si="11"/>
        <v>0</v>
      </c>
      <c r="AX47" s="29">
        <v>20</v>
      </c>
      <c r="AY47" s="29">
        <v>20</v>
      </c>
      <c r="AZ47" s="6"/>
      <c r="BA47" s="6" t="s">
        <v>73</v>
      </c>
    </row>
    <row r="48" spans="1:53">
      <c r="A48" s="7" t="s">
        <v>55</v>
      </c>
      <c r="B48" s="14" t="s">
        <v>107</v>
      </c>
      <c r="C48" s="24" t="s">
        <v>141</v>
      </c>
      <c r="D48" s="17" t="s">
        <v>109</v>
      </c>
      <c r="E48" s="6" t="s">
        <v>15</v>
      </c>
      <c r="F48" s="6" t="s">
        <v>56</v>
      </c>
      <c r="G48" s="10">
        <v>41963</v>
      </c>
      <c r="H48" s="8">
        <v>28.3</v>
      </c>
      <c r="I48" s="8">
        <v>7.6999999999999999E-2</v>
      </c>
      <c r="J48" s="8">
        <v>3.89</v>
      </c>
      <c r="K48" s="8">
        <v>36.869999999999997</v>
      </c>
      <c r="L48" s="8">
        <f>36.87/365</f>
        <v>0.10101369863013698</v>
      </c>
      <c r="M48" s="8">
        <v>3.87</v>
      </c>
      <c r="N48" s="8">
        <f t="shared" si="6"/>
        <v>2.4013698630136984E-2</v>
      </c>
      <c r="O48" s="8">
        <v>0</v>
      </c>
      <c r="P48" s="8">
        <v>0</v>
      </c>
      <c r="Q48" s="8">
        <v>0</v>
      </c>
      <c r="R48" s="8">
        <v>0</v>
      </c>
      <c r="S48" s="8">
        <v>0</v>
      </c>
      <c r="T48" s="8">
        <v>0</v>
      </c>
      <c r="U48" s="8">
        <f t="shared" si="7"/>
        <v>0</v>
      </c>
      <c r="V48" s="8">
        <v>28.3</v>
      </c>
      <c r="W48" s="8">
        <v>7.6999999999999999E-2</v>
      </c>
      <c r="X48" s="8">
        <v>3.89</v>
      </c>
      <c r="Y48" s="8">
        <v>36.869999999999997</v>
      </c>
      <c r="Z48" s="8">
        <f>36.87/365</f>
        <v>0.10101369863013698</v>
      </c>
      <c r="AA48" s="8">
        <v>3.87</v>
      </c>
      <c r="AB48" s="8">
        <f t="shared" si="8"/>
        <v>2.4013698630136984E-2</v>
      </c>
      <c r="AC48" s="8">
        <v>0</v>
      </c>
      <c r="AD48" s="8">
        <v>0</v>
      </c>
      <c r="AE48" s="8">
        <v>0</v>
      </c>
      <c r="AF48" s="8">
        <v>0</v>
      </c>
      <c r="AG48" s="8">
        <v>0</v>
      </c>
      <c r="AH48" s="8">
        <v>0</v>
      </c>
      <c r="AI48" s="8">
        <f t="shared" si="9"/>
        <v>0</v>
      </c>
      <c r="AJ48" s="8">
        <v>0</v>
      </c>
      <c r="AK48" s="8">
        <v>0</v>
      </c>
      <c r="AL48" s="8">
        <v>0</v>
      </c>
      <c r="AM48" s="8">
        <v>0</v>
      </c>
      <c r="AN48" s="8">
        <v>0</v>
      </c>
      <c r="AO48" s="8">
        <v>0</v>
      </c>
      <c r="AP48" s="8">
        <f t="shared" si="10"/>
        <v>0</v>
      </c>
      <c r="AQ48" s="8">
        <v>0</v>
      </c>
      <c r="AR48" s="8">
        <v>0</v>
      </c>
      <c r="AS48" s="8">
        <v>0</v>
      </c>
      <c r="AT48" s="8">
        <v>0</v>
      </c>
      <c r="AU48" s="8">
        <v>0</v>
      </c>
      <c r="AV48" s="8">
        <v>0</v>
      </c>
      <c r="AW48" s="8">
        <f t="shared" si="11"/>
        <v>0</v>
      </c>
      <c r="AX48" s="29">
        <v>20</v>
      </c>
      <c r="AY48" s="29">
        <v>20</v>
      </c>
      <c r="AZ48" s="6"/>
      <c r="BA48" s="6" t="s">
        <v>73</v>
      </c>
    </row>
    <row r="49" spans="1:53" ht="26.25">
      <c r="A49" s="7" t="s">
        <v>55</v>
      </c>
      <c r="B49" s="23" t="s">
        <v>331</v>
      </c>
      <c r="C49" s="23" t="s">
        <v>336</v>
      </c>
      <c r="D49" s="28" t="s">
        <v>326</v>
      </c>
      <c r="E49" s="6" t="s">
        <v>15</v>
      </c>
      <c r="F49" s="6" t="s">
        <v>58</v>
      </c>
      <c r="G49" s="10">
        <v>41976</v>
      </c>
      <c r="H49" s="8">
        <v>0</v>
      </c>
      <c r="I49" s="8">
        <v>0</v>
      </c>
      <c r="J49" s="8">
        <v>0</v>
      </c>
      <c r="K49" s="8">
        <v>6.25</v>
      </c>
      <c r="L49" s="8">
        <f>6.25/365</f>
        <v>1.7123287671232876E-2</v>
      </c>
      <c r="M49" s="8">
        <v>0.83</v>
      </c>
      <c r="N49" s="8">
        <f t="shared" si="6"/>
        <v>1.7123287671232876E-2</v>
      </c>
      <c r="O49" s="8">
        <v>0</v>
      </c>
      <c r="P49" s="8">
        <v>0</v>
      </c>
      <c r="Q49" s="8">
        <v>0</v>
      </c>
      <c r="R49" s="8">
        <v>0</v>
      </c>
      <c r="S49" s="8">
        <v>0</v>
      </c>
      <c r="T49" s="8">
        <v>0</v>
      </c>
      <c r="U49" s="8">
        <f t="shared" si="7"/>
        <v>0</v>
      </c>
      <c r="V49" s="8">
        <v>0</v>
      </c>
      <c r="W49" s="8">
        <v>0</v>
      </c>
      <c r="X49" s="8">
        <v>0</v>
      </c>
      <c r="Y49" s="8">
        <v>6.25</v>
      </c>
      <c r="Z49" s="8">
        <f>6.25/365</f>
        <v>1.7123287671232876E-2</v>
      </c>
      <c r="AA49" s="8">
        <v>0.83</v>
      </c>
      <c r="AB49" s="8">
        <f t="shared" si="8"/>
        <v>1.7123287671232876E-2</v>
      </c>
      <c r="AC49" s="8">
        <v>0</v>
      </c>
      <c r="AD49" s="8">
        <v>0</v>
      </c>
      <c r="AE49" s="8">
        <v>0</v>
      </c>
      <c r="AF49" s="8">
        <v>0</v>
      </c>
      <c r="AG49" s="8">
        <v>0</v>
      </c>
      <c r="AH49" s="8">
        <v>0</v>
      </c>
      <c r="AI49" s="8">
        <f t="shared" si="9"/>
        <v>0</v>
      </c>
      <c r="AJ49" s="8">
        <v>0</v>
      </c>
      <c r="AK49" s="8">
        <v>0</v>
      </c>
      <c r="AL49" s="8">
        <v>0</v>
      </c>
      <c r="AM49" s="8">
        <v>0</v>
      </c>
      <c r="AN49" s="8">
        <v>0</v>
      </c>
      <c r="AO49" s="8">
        <v>0</v>
      </c>
      <c r="AP49" s="8">
        <f t="shared" si="10"/>
        <v>0</v>
      </c>
      <c r="AQ49" s="8">
        <v>0</v>
      </c>
      <c r="AR49" s="8">
        <v>0</v>
      </c>
      <c r="AS49" s="8">
        <v>0</v>
      </c>
      <c r="AT49" s="8">
        <v>0</v>
      </c>
      <c r="AU49" s="8">
        <v>0</v>
      </c>
      <c r="AV49" s="8">
        <v>0</v>
      </c>
      <c r="AW49" s="8">
        <f t="shared" si="11"/>
        <v>0</v>
      </c>
      <c r="AX49" s="29">
        <v>20</v>
      </c>
      <c r="AY49" s="29">
        <v>20</v>
      </c>
      <c r="AZ49" s="6"/>
      <c r="BA49" s="6" t="s">
        <v>73</v>
      </c>
    </row>
    <row r="50" spans="1:53">
      <c r="A50" s="7" t="s">
        <v>55</v>
      </c>
      <c r="B50" s="23" t="s">
        <v>300</v>
      </c>
      <c r="C50" s="23" t="s">
        <v>290</v>
      </c>
      <c r="D50" s="25" t="s">
        <v>295</v>
      </c>
      <c r="E50" s="6" t="s">
        <v>15</v>
      </c>
      <c r="F50" s="6" t="s">
        <v>59</v>
      </c>
      <c r="G50" s="10">
        <v>41978</v>
      </c>
      <c r="H50" s="8">
        <v>13.45</v>
      </c>
      <c r="I50" s="8">
        <f>13.45/365</f>
        <v>3.6849315068493149E-2</v>
      </c>
      <c r="J50" s="8">
        <v>1.74</v>
      </c>
      <c r="K50" s="8">
        <v>8.1300000000000008</v>
      </c>
      <c r="L50" s="8">
        <f>8.13/365</f>
        <v>2.2273972602739729E-2</v>
      </c>
      <c r="M50" s="8">
        <v>1.27</v>
      </c>
      <c r="N50" s="8">
        <f t="shared" si="6"/>
        <v>-1.457534246575342E-2</v>
      </c>
      <c r="O50" s="8">
        <v>0</v>
      </c>
      <c r="P50" s="8">
        <v>0</v>
      </c>
      <c r="Q50" s="8">
        <v>0</v>
      </c>
      <c r="R50" s="8">
        <v>0</v>
      </c>
      <c r="S50" s="8">
        <v>0</v>
      </c>
      <c r="T50" s="8">
        <v>0</v>
      </c>
      <c r="U50" s="8">
        <f t="shared" si="7"/>
        <v>0</v>
      </c>
      <c r="V50" s="8">
        <v>13.45</v>
      </c>
      <c r="W50" s="8">
        <f>13.45/365</f>
        <v>3.6849315068493149E-2</v>
      </c>
      <c r="X50" s="8">
        <v>1.74</v>
      </c>
      <c r="Y50" s="8">
        <v>8.1300000000000008</v>
      </c>
      <c r="Z50" s="8">
        <f>8.13/365</f>
        <v>2.2273972602739729E-2</v>
      </c>
      <c r="AA50" s="8">
        <v>1.27</v>
      </c>
      <c r="AB50" s="8">
        <f t="shared" si="8"/>
        <v>-1.457534246575342E-2</v>
      </c>
      <c r="AC50" s="8">
        <v>0</v>
      </c>
      <c r="AD50" s="8">
        <v>0</v>
      </c>
      <c r="AE50" s="8">
        <v>0</v>
      </c>
      <c r="AF50" s="8">
        <v>0</v>
      </c>
      <c r="AG50" s="8">
        <v>0</v>
      </c>
      <c r="AH50" s="8">
        <v>0</v>
      </c>
      <c r="AI50" s="8">
        <f t="shared" si="9"/>
        <v>0</v>
      </c>
      <c r="AJ50" s="8">
        <v>0</v>
      </c>
      <c r="AK50" s="8">
        <v>0</v>
      </c>
      <c r="AL50" s="8">
        <v>0</v>
      </c>
      <c r="AM50" s="8">
        <v>0</v>
      </c>
      <c r="AN50" s="8">
        <v>0</v>
      </c>
      <c r="AO50" s="8">
        <v>0</v>
      </c>
      <c r="AP50" s="8">
        <f t="shared" si="10"/>
        <v>0</v>
      </c>
      <c r="AQ50" s="8">
        <v>0</v>
      </c>
      <c r="AR50" s="8">
        <v>0</v>
      </c>
      <c r="AS50" s="8">
        <v>0</v>
      </c>
      <c r="AT50" s="8">
        <v>0</v>
      </c>
      <c r="AU50" s="8">
        <v>0</v>
      </c>
      <c r="AV50" s="8">
        <v>0</v>
      </c>
      <c r="AW50" s="8">
        <f t="shared" si="11"/>
        <v>0</v>
      </c>
      <c r="AX50" s="29">
        <v>20</v>
      </c>
      <c r="AY50" s="29">
        <v>20</v>
      </c>
      <c r="AZ50" s="6"/>
      <c r="BA50" s="6" t="s">
        <v>73</v>
      </c>
    </row>
    <row r="51" spans="1:53">
      <c r="A51" s="7" t="s">
        <v>55</v>
      </c>
      <c r="B51" s="23" t="s">
        <v>332</v>
      </c>
      <c r="C51" s="23" t="s">
        <v>337</v>
      </c>
      <c r="D51" s="28" t="s">
        <v>327</v>
      </c>
      <c r="E51" s="6" t="s">
        <v>15</v>
      </c>
      <c r="F51" s="6" t="s">
        <v>58</v>
      </c>
      <c r="G51" s="10">
        <v>41982</v>
      </c>
      <c r="H51" s="8">
        <v>0</v>
      </c>
      <c r="I51" s="8">
        <v>0</v>
      </c>
      <c r="J51" s="8">
        <v>0</v>
      </c>
      <c r="K51" s="8">
        <v>1.25</v>
      </c>
      <c r="L51" s="8">
        <f>1.25/365</f>
        <v>3.4246575342465752E-3</v>
      </c>
      <c r="M51" s="8">
        <v>0.16600000000000001</v>
      </c>
      <c r="N51" s="8">
        <f t="shared" si="6"/>
        <v>3.4246575342465752E-3</v>
      </c>
      <c r="O51" s="8">
        <v>0</v>
      </c>
      <c r="P51" s="8">
        <v>0</v>
      </c>
      <c r="Q51" s="8">
        <v>0</v>
      </c>
      <c r="R51" s="8">
        <v>0</v>
      </c>
      <c r="S51" s="8">
        <v>0</v>
      </c>
      <c r="T51" s="8">
        <v>0</v>
      </c>
      <c r="U51" s="8">
        <f t="shared" si="7"/>
        <v>0</v>
      </c>
      <c r="V51" s="8">
        <v>0</v>
      </c>
      <c r="W51" s="8">
        <v>0</v>
      </c>
      <c r="X51" s="8">
        <v>0</v>
      </c>
      <c r="Y51" s="8">
        <v>1.25</v>
      </c>
      <c r="Z51" s="8">
        <f>1.25/365</f>
        <v>3.4246575342465752E-3</v>
      </c>
      <c r="AA51" s="8">
        <v>0.16600000000000001</v>
      </c>
      <c r="AB51" s="8">
        <f t="shared" si="8"/>
        <v>3.4246575342465752E-3</v>
      </c>
      <c r="AC51" s="8">
        <v>0</v>
      </c>
      <c r="AD51" s="8">
        <v>0</v>
      </c>
      <c r="AE51" s="8">
        <v>0</v>
      </c>
      <c r="AF51" s="8">
        <v>0</v>
      </c>
      <c r="AG51" s="8">
        <v>0</v>
      </c>
      <c r="AH51" s="8">
        <v>0</v>
      </c>
      <c r="AI51" s="8">
        <f t="shared" si="9"/>
        <v>0</v>
      </c>
      <c r="AJ51" s="8">
        <v>0</v>
      </c>
      <c r="AK51" s="8">
        <v>0</v>
      </c>
      <c r="AL51" s="8">
        <v>0</v>
      </c>
      <c r="AM51" s="8">
        <v>0</v>
      </c>
      <c r="AN51" s="8">
        <v>0</v>
      </c>
      <c r="AO51" s="8">
        <v>0</v>
      </c>
      <c r="AP51" s="8">
        <f t="shared" si="10"/>
        <v>0</v>
      </c>
      <c r="AQ51" s="8">
        <v>0</v>
      </c>
      <c r="AR51" s="8">
        <v>0</v>
      </c>
      <c r="AS51" s="8">
        <v>0</v>
      </c>
      <c r="AT51" s="8">
        <v>0</v>
      </c>
      <c r="AU51" s="8">
        <v>0</v>
      </c>
      <c r="AV51" s="8">
        <v>0</v>
      </c>
      <c r="AW51" s="8">
        <f t="shared" si="11"/>
        <v>0</v>
      </c>
      <c r="AX51" s="29">
        <v>20</v>
      </c>
      <c r="AY51" s="29">
        <v>20</v>
      </c>
      <c r="AZ51" s="6"/>
      <c r="BA51" s="6" t="s">
        <v>73</v>
      </c>
    </row>
    <row r="52" spans="1:53">
      <c r="A52" s="7" t="s">
        <v>55</v>
      </c>
      <c r="B52" s="7" t="s">
        <v>82</v>
      </c>
      <c r="C52" s="7" t="s">
        <v>381</v>
      </c>
      <c r="D52" s="6" t="s">
        <v>83</v>
      </c>
      <c r="E52" s="6" t="s">
        <v>87</v>
      </c>
      <c r="F52" s="6" t="s">
        <v>59</v>
      </c>
      <c r="G52" s="10">
        <v>42009</v>
      </c>
      <c r="H52" s="8">
        <v>9.1300000000000008</v>
      </c>
      <c r="I52" s="8">
        <f>9.13/365</f>
        <v>2.5013698630136989E-2</v>
      </c>
      <c r="J52" s="8">
        <v>0.76</v>
      </c>
      <c r="K52" s="8">
        <v>9.1300000000000008</v>
      </c>
      <c r="L52" s="8">
        <f>9.13/365</f>
        <v>2.5013698630136989E-2</v>
      </c>
      <c r="M52" s="8">
        <v>0.76</v>
      </c>
      <c r="N52" s="8">
        <f t="shared" si="6"/>
        <v>0</v>
      </c>
      <c r="O52" s="8">
        <v>0</v>
      </c>
      <c r="P52" s="8">
        <v>0</v>
      </c>
      <c r="Q52" s="8">
        <v>0</v>
      </c>
      <c r="R52" s="8">
        <v>0</v>
      </c>
      <c r="S52" s="8">
        <v>0</v>
      </c>
      <c r="T52" s="8">
        <v>0</v>
      </c>
      <c r="U52" s="8">
        <f t="shared" si="7"/>
        <v>0</v>
      </c>
      <c r="V52" s="8">
        <v>9.1300000000000008</v>
      </c>
      <c r="W52" s="8">
        <f>9.13/365</f>
        <v>2.5013698630136989E-2</v>
      </c>
      <c r="X52" s="8">
        <v>0.76</v>
      </c>
      <c r="Y52" s="8">
        <v>9.1199999999999992</v>
      </c>
      <c r="Z52" s="8">
        <v>2.5000000000000001E-2</v>
      </c>
      <c r="AA52" s="8">
        <v>0.76</v>
      </c>
      <c r="AB52" s="8">
        <f t="shared" si="8"/>
        <v>-1.3698630136987217E-5</v>
      </c>
      <c r="AC52" s="8">
        <v>0</v>
      </c>
      <c r="AD52" s="8">
        <v>0</v>
      </c>
      <c r="AE52" s="8">
        <v>0</v>
      </c>
      <c r="AF52" s="8">
        <v>0</v>
      </c>
      <c r="AG52" s="8">
        <v>0</v>
      </c>
      <c r="AH52" s="8">
        <v>0</v>
      </c>
      <c r="AI52" s="8">
        <f t="shared" si="9"/>
        <v>0</v>
      </c>
      <c r="AJ52" s="8">
        <v>0</v>
      </c>
      <c r="AK52" s="8">
        <v>0</v>
      </c>
      <c r="AL52" s="8">
        <v>0</v>
      </c>
      <c r="AM52" s="8">
        <v>0</v>
      </c>
      <c r="AN52" s="8">
        <v>0</v>
      </c>
      <c r="AO52" s="8">
        <v>0</v>
      </c>
      <c r="AP52" s="8">
        <f t="shared" si="10"/>
        <v>0</v>
      </c>
      <c r="AQ52" s="8">
        <v>142.5</v>
      </c>
      <c r="AR52" s="8">
        <f>355.43/365</f>
        <v>0.97378082191780824</v>
      </c>
      <c r="AS52" s="8">
        <v>142.5</v>
      </c>
      <c r="AT52" s="8">
        <v>1099.1600000000001</v>
      </c>
      <c r="AU52" s="8">
        <v>3.01</v>
      </c>
      <c r="AV52" s="8">
        <v>217.03</v>
      </c>
      <c r="AW52" s="8">
        <f t="shared" si="11"/>
        <v>2.0362191780821917</v>
      </c>
      <c r="AX52" s="29">
        <v>20</v>
      </c>
      <c r="AY52" s="29">
        <v>20</v>
      </c>
      <c r="AZ52" s="6" t="s">
        <v>88</v>
      </c>
      <c r="BA52" s="6" t="s">
        <v>73</v>
      </c>
    </row>
    <row r="53" spans="1:53">
      <c r="A53" s="7" t="s">
        <v>55</v>
      </c>
      <c r="B53" s="21" t="s">
        <v>270</v>
      </c>
      <c r="C53" s="12" t="s">
        <v>271</v>
      </c>
      <c r="D53" s="16" t="s">
        <v>272</v>
      </c>
      <c r="E53" s="6" t="s">
        <v>15</v>
      </c>
      <c r="F53" s="6" t="s">
        <v>60</v>
      </c>
      <c r="G53" s="10">
        <v>42011</v>
      </c>
      <c r="H53" s="8">
        <v>554.79999999999995</v>
      </c>
      <c r="I53" s="8">
        <f>554.8/365</f>
        <v>1.5199999999999998</v>
      </c>
      <c r="J53" s="8">
        <v>46.21</v>
      </c>
      <c r="K53" s="8">
        <v>554.79999999999995</v>
      </c>
      <c r="L53" s="8">
        <v>1.52</v>
      </c>
      <c r="M53" s="8">
        <v>46.12</v>
      </c>
      <c r="N53" s="8">
        <f t="shared" si="6"/>
        <v>0</v>
      </c>
      <c r="O53" s="8">
        <v>0</v>
      </c>
      <c r="P53" s="8">
        <v>0</v>
      </c>
      <c r="Q53" s="8">
        <v>0</v>
      </c>
      <c r="R53" s="8">
        <v>0</v>
      </c>
      <c r="S53" s="8">
        <v>0</v>
      </c>
      <c r="T53" s="8">
        <v>0</v>
      </c>
      <c r="U53" s="8">
        <f t="shared" si="7"/>
        <v>0</v>
      </c>
      <c r="V53" s="8">
        <v>554.79999999999995</v>
      </c>
      <c r="W53" s="8">
        <f>554.8/365</f>
        <v>1.5199999999999998</v>
      </c>
      <c r="X53" s="8">
        <v>46.21</v>
      </c>
      <c r="Y53" s="8">
        <v>554.79999999999995</v>
      </c>
      <c r="Z53" s="8">
        <v>1.52</v>
      </c>
      <c r="AA53" s="8">
        <v>46.12</v>
      </c>
      <c r="AB53" s="8">
        <f t="shared" si="8"/>
        <v>0</v>
      </c>
      <c r="AC53" s="8">
        <v>0</v>
      </c>
      <c r="AD53" s="8">
        <v>0</v>
      </c>
      <c r="AE53" s="8">
        <v>0</v>
      </c>
      <c r="AF53" s="8">
        <v>0</v>
      </c>
      <c r="AG53" s="8">
        <v>0</v>
      </c>
      <c r="AH53" s="8">
        <v>0</v>
      </c>
      <c r="AI53" s="8">
        <f t="shared" si="9"/>
        <v>0</v>
      </c>
      <c r="AJ53" s="8">
        <v>0</v>
      </c>
      <c r="AK53" s="8">
        <v>0</v>
      </c>
      <c r="AL53" s="8">
        <v>0</v>
      </c>
      <c r="AM53" s="8">
        <v>0</v>
      </c>
      <c r="AN53" s="8">
        <v>0</v>
      </c>
      <c r="AO53" s="8">
        <v>0</v>
      </c>
      <c r="AP53" s="8">
        <f t="shared" si="10"/>
        <v>0</v>
      </c>
      <c r="AQ53" s="8">
        <v>0</v>
      </c>
      <c r="AR53" s="8">
        <v>0</v>
      </c>
      <c r="AS53" s="8">
        <v>0</v>
      </c>
      <c r="AT53" s="8">
        <v>0</v>
      </c>
      <c r="AU53" s="8">
        <v>0</v>
      </c>
      <c r="AV53" s="8">
        <v>0</v>
      </c>
      <c r="AW53" s="8">
        <f t="shared" si="11"/>
        <v>0</v>
      </c>
      <c r="AX53" s="29">
        <v>20</v>
      </c>
      <c r="AY53" s="29">
        <v>20</v>
      </c>
      <c r="AZ53" s="6"/>
      <c r="BA53" s="6" t="s">
        <v>73</v>
      </c>
    </row>
    <row r="54" spans="1:53" ht="26.25">
      <c r="A54" s="7" t="s">
        <v>55</v>
      </c>
      <c r="B54" s="23" t="s">
        <v>333</v>
      </c>
      <c r="C54" s="23" t="s">
        <v>338</v>
      </c>
      <c r="D54" s="28" t="s">
        <v>328</v>
      </c>
      <c r="E54" s="6" t="s">
        <v>15</v>
      </c>
      <c r="F54" s="6" t="s">
        <v>56</v>
      </c>
      <c r="G54" s="10">
        <v>42026</v>
      </c>
      <c r="H54" s="8">
        <v>0</v>
      </c>
      <c r="I54" s="8">
        <v>0</v>
      </c>
      <c r="J54" s="8">
        <v>0</v>
      </c>
      <c r="K54" s="8">
        <v>1.06</v>
      </c>
      <c r="L54" s="8">
        <f>1.06/365</f>
        <v>2.9041095890410961E-3</v>
      </c>
      <c r="M54" s="8">
        <v>0.12</v>
      </c>
      <c r="N54" s="8">
        <f t="shared" si="6"/>
        <v>2.9041095890410961E-3</v>
      </c>
      <c r="O54" s="8">
        <v>0</v>
      </c>
      <c r="P54" s="8">
        <v>0</v>
      </c>
      <c r="Q54" s="8">
        <v>0</v>
      </c>
      <c r="R54" s="8">
        <v>0</v>
      </c>
      <c r="S54" s="8">
        <v>0</v>
      </c>
      <c r="T54" s="8">
        <v>0</v>
      </c>
      <c r="U54" s="8">
        <f t="shared" si="7"/>
        <v>0</v>
      </c>
      <c r="V54" s="8">
        <v>0</v>
      </c>
      <c r="W54" s="8">
        <v>0</v>
      </c>
      <c r="X54" s="8">
        <v>0</v>
      </c>
      <c r="Y54" s="8">
        <v>1.06</v>
      </c>
      <c r="Z54" s="8">
        <f>1.06/365</f>
        <v>2.9041095890410961E-3</v>
      </c>
      <c r="AA54" s="8">
        <v>0.12</v>
      </c>
      <c r="AB54" s="8">
        <f t="shared" si="8"/>
        <v>2.9041095890410961E-3</v>
      </c>
      <c r="AC54" s="8">
        <v>0</v>
      </c>
      <c r="AD54" s="8">
        <v>0</v>
      </c>
      <c r="AE54" s="8">
        <v>0</v>
      </c>
      <c r="AF54" s="8">
        <v>0</v>
      </c>
      <c r="AG54" s="8">
        <v>0</v>
      </c>
      <c r="AH54" s="8">
        <v>0</v>
      </c>
      <c r="AI54" s="8">
        <f t="shared" si="9"/>
        <v>0</v>
      </c>
      <c r="AJ54" s="8">
        <v>0</v>
      </c>
      <c r="AK54" s="8">
        <v>0</v>
      </c>
      <c r="AL54" s="8">
        <v>0</v>
      </c>
      <c r="AM54" s="8">
        <v>0</v>
      </c>
      <c r="AN54" s="8">
        <v>0</v>
      </c>
      <c r="AO54" s="8">
        <v>0</v>
      </c>
      <c r="AP54" s="8">
        <f t="shared" si="10"/>
        <v>0</v>
      </c>
      <c r="AQ54" s="8">
        <v>0</v>
      </c>
      <c r="AR54" s="8">
        <v>0</v>
      </c>
      <c r="AS54" s="8">
        <v>0</v>
      </c>
      <c r="AT54" s="8">
        <v>0</v>
      </c>
      <c r="AU54" s="8">
        <v>0</v>
      </c>
      <c r="AV54" s="8">
        <v>0</v>
      </c>
      <c r="AW54" s="8">
        <f t="shared" si="11"/>
        <v>0</v>
      </c>
      <c r="AX54" s="29">
        <v>20</v>
      </c>
      <c r="AY54" s="29">
        <v>20</v>
      </c>
      <c r="AZ54" s="6"/>
      <c r="BA54" s="6" t="s">
        <v>73</v>
      </c>
    </row>
    <row r="55" spans="1:53">
      <c r="A55" s="7" t="s">
        <v>55</v>
      </c>
      <c r="B55" s="12" t="s">
        <v>196</v>
      </c>
      <c r="C55" s="24" t="s">
        <v>202</v>
      </c>
      <c r="D55" s="16" t="s">
        <v>199</v>
      </c>
      <c r="E55" s="6" t="s">
        <v>15</v>
      </c>
      <c r="F55" s="6" t="s">
        <v>59</v>
      </c>
      <c r="G55" s="10">
        <v>42030</v>
      </c>
      <c r="H55" s="8">
        <v>16.54</v>
      </c>
      <c r="I55" s="8">
        <f>16.54/365</f>
        <v>4.531506849315068E-2</v>
      </c>
      <c r="J55" s="8">
        <v>2.63</v>
      </c>
      <c r="K55" s="8">
        <v>17.79</v>
      </c>
      <c r="L55" s="8">
        <f>17.79/365</f>
        <v>4.8739726027397255E-2</v>
      </c>
      <c r="M55" s="8">
        <v>2.96</v>
      </c>
      <c r="N55" s="8">
        <f t="shared" si="6"/>
        <v>3.4246575342465752E-3</v>
      </c>
      <c r="O55" s="8">
        <v>0</v>
      </c>
      <c r="P55" s="8">
        <v>0</v>
      </c>
      <c r="Q55" s="8">
        <v>0</v>
      </c>
      <c r="R55" s="8">
        <v>0</v>
      </c>
      <c r="S55" s="8">
        <v>0</v>
      </c>
      <c r="T55" s="8">
        <v>0</v>
      </c>
      <c r="U55" s="8">
        <f t="shared" si="7"/>
        <v>0</v>
      </c>
      <c r="V55" s="8">
        <v>16.54</v>
      </c>
      <c r="W55" s="8">
        <f>16.54/365</f>
        <v>4.531506849315068E-2</v>
      </c>
      <c r="X55" s="8">
        <v>2.63</v>
      </c>
      <c r="Y55" s="8">
        <v>17.79</v>
      </c>
      <c r="Z55" s="8">
        <f>17.79/365</f>
        <v>4.8739726027397255E-2</v>
      </c>
      <c r="AA55" s="8">
        <v>2.96</v>
      </c>
      <c r="AB55" s="8">
        <f t="shared" si="8"/>
        <v>3.4246575342465752E-3</v>
      </c>
      <c r="AC55" s="8">
        <v>0</v>
      </c>
      <c r="AD55" s="8">
        <v>0</v>
      </c>
      <c r="AE55" s="8">
        <v>0</v>
      </c>
      <c r="AF55" s="8">
        <v>0</v>
      </c>
      <c r="AG55" s="8">
        <v>0</v>
      </c>
      <c r="AH55" s="8">
        <v>0</v>
      </c>
      <c r="AI55" s="8">
        <f t="shared" si="9"/>
        <v>0</v>
      </c>
      <c r="AJ55" s="8">
        <v>0</v>
      </c>
      <c r="AK55" s="8">
        <v>0</v>
      </c>
      <c r="AL55" s="8">
        <v>0</v>
      </c>
      <c r="AM55" s="8">
        <v>0</v>
      </c>
      <c r="AN55" s="8">
        <v>0</v>
      </c>
      <c r="AO55" s="8">
        <v>0</v>
      </c>
      <c r="AP55" s="8">
        <f t="shared" si="10"/>
        <v>0</v>
      </c>
      <c r="AQ55" s="8">
        <v>0</v>
      </c>
      <c r="AR55" s="8">
        <v>0</v>
      </c>
      <c r="AS55" s="8">
        <v>0</v>
      </c>
      <c r="AT55" s="8">
        <v>0</v>
      </c>
      <c r="AU55" s="8">
        <v>0</v>
      </c>
      <c r="AV55" s="8">
        <v>0</v>
      </c>
      <c r="AW55" s="8">
        <f t="shared" si="11"/>
        <v>0</v>
      </c>
      <c r="AX55" s="29">
        <v>20</v>
      </c>
      <c r="AY55" s="29">
        <v>20</v>
      </c>
      <c r="AZ55" s="6"/>
      <c r="BA55" s="6" t="s">
        <v>73</v>
      </c>
    </row>
    <row r="56" spans="1:53">
      <c r="A56" s="7" t="s">
        <v>55</v>
      </c>
      <c r="B56" s="21" t="s">
        <v>177</v>
      </c>
      <c r="C56" s="12" t="s">
        <v>188</v>
      </c>
      <c r="D56" s="16" t="s">
        <v>181</v>
      </c>
      <c r="E56" s="6" t="s">
        <v>15</v>
      </c>
      <c r="F56" s="6" t="s">
        <v>59</v>
      </c>
      <c r="G56" s="10">
        <v>42041</v>
      </c>
      <c r="H56" s="8">
        <v>68.819999999999993</v>
      </c>
      <c r="I56" s="8">
        <v>0.19</v>
      </c>
      <c r="J56" s="8">
        <v>13.17</v>
      </c>
      <c r="K56" s="8">
        <v>63.82</v>
      </c>
      <c r="L56" s="8">
        <f>63.82/365</f>
        <v>0.17484931506849316</v>
      </c>
      <c r="M56" s="8">
        <v>13.17</v>
      </c>
      <c r="N56" s="8">
        <f t="shared" si="6"/>
        <v>-1.5150684931506841E-2</v>
      </c>
      <c r="O56" s="8">
        <v>0</v>
      </c>
      <c r="P56" s="8">
        <v>0</v>
      </c>
      <c r="Q56" s="8">
        <v>0</v>
      </c>
      <c r="R56" s="8">
        <v>0</v>
      </c>
      <c r="S56" s="8">
        <v>0</v>
      </c>
      <c r="T56" s="8">
        <v>0</v>
      </c>
      <c r="U56" s="8">
        <f t="shared" si="7"/>
        <v>0</v>
      </c>
      <c r="V56" s="8">
        <v>68.819999999999993</v>
      </c>
      <c r="W56" s="8">
        <v>0.19</v>
      </c>
      <c r="X56" s="8">
        <v>13.17</v>
      </c>
      <c r="Y56" s="8">
        <v>63.82</v>
      </c>
      <c r="Z56" s="8">
        <f>63.82/365</f>
        <v>0.17484931506849316</v>
      </c>
      <c r="AA56" s="8">
        <v>13.17</v>
      </c>
      <c r="AB56" s="8">
        <f t="shared" si="8"/>
        <v>-1.5150684931506841E-2</v>
      </c>
      <c r="AC56" s="8">
        <v>0</v>
      </c>
      <c r="AD56" s="8">
        <v>0</v>
      </c>
      <c r="AE56" s="8">
        <v>0</v>
      </c>
      <c r="AF56" s="8">
        <v>0</v>
      </c>
      <c r="AG56" s="8">
        <v>0</v>
      </c>
      <c r="AH56" s="8">
        <v>0</v>
      </c>
      <c r="AI56" s="8">
        <f t="shared" si="9"/>
        <v>0</v>
      </c>
      <c r="AJ56" s="8">
        <v>0</v>
      </c>
      <c r="AK56" s="8">
        <v>0</v>
      </c>
      <c r="AL56" s="8">
        <v>0</v>
      </c>
      <c r="AM56" s="8">
        <v>0</v>
      </c>
      <c r="AN56" s="8">
        <v>0</v>
      </c>
      <c r="AO56" s="8">
        <v>0</v>
      </c>
      <c r="AP56" s="8">
        <f t="shared" si="10"/>
        <v>0</v>
      </c>
      <c r="AQ56" s="8">
        <v>0</v>
      </c>
      <c r="AR56" s="8">
        <v>0</v>
      </c>
      <c r="AS56" s="8">
        <v>0</v>
      </c>
      <c r="AT56" s="8">
        <v>0</v>
      </c>
      <c r="AU56" s="8">
        <v>0</v>
      </c>
      <c r="AV56" s="8">
        <v>0</v>
      </c>
      <c r="AW56" s="8">
        <f t="shared" si="11"/>
        <v>0</v>
      </c>
      <c r="AX56" s="29">
        <v>20</v>
      </c>
      <c r="AY56" s="29">
        <v>20</v>
      </c>
      <c r="AZ56" s="6"/>
      <c r="BA56" s="6" t="s">
        <v>73</v>
      </c>
    </row>
    <row r="57" spans="1:53">
      <c r="A57" s="7" t="s">
        <v>55</v>
      </c>
      <c r="B57" s="16" t="s">
        <v>197</v>
      </c>
      <c r="C57" s="24" t="s">
        <v>203</v>
      </c>
      <c r="D57" s="16" t="s">
        <v>200</v>
      </c>
      <c r="E57" s="6" t="s">
        <v>15</v>
      </c>
      <c r="F57" s="6" t="s">
        <v>58</v>
      </c>
      <c r="G57" s="10">
        <v>42053</v>
      </c>
      <c r="H57" s="8">
        <v>0</v>
      </c>
      <c r="I57" s="8">
        <v>0</v>
      </c>
      <c r="J57" s="8">
        <v>0</v>
      </c>
      <c r="K57" s="8">
        <v>8.4</v>
      </c>
      <c r="L57" s="8">
        <f>8.4/365</f>
        <v>2.3013698630136987E-2</v>
      </c>
      <c r="M57" s="8">
        <v>1.1000000000000001</v>
      </c>
      <c r="N57" s="8">
        <f t="shared" si="6"/>
        <v>2.3013698630136987E-2</v>
      </c>
      <c r="O57" s="8">
        <v>0</v>
      </c>
      <c r="P57" s="8">
        <v>0</v>
      </c>
      <c r="Q57" s="8">
        <v>0</v>
      </c>
      <c r="R57" s="8">
        <v>0</v>
      </c>
      <c r="S57" s="8">
        <v>0</v>
      </c>
      <c r="T57" s="8">
        <v>0</v>
      </c>
      <c r="U57" s="8">
        <f t="shared" si="7"/>
        <v>0</v>
      </c>
      <c r="V57" s="8">
        <v>0</v>
      </c>
      <c r="W57" s="8">
        <v>0</v>
      </c>
      <c r="X57" s="8">
        <v>0</v>
      </c>
      <c r="Y57" s="8">
        <v>8.4</v>
      </c>
      <c r="Z57" s="8">
        <f>8.4/365</f>
        <v>2.3013698630136987E-2</v>
      </c>
      <c r="AA57" s="8">
        <v>1.1000000000000001</v>
      </c>
      <c r="AB57" s="8">
        <f t="shared" si="8"/>
        <v>2.3013698630136987E-2</v>
      </c>
      <c r="AC57" s="8">
        <v>0</v>
      </c>
      <c r="AD57" s="8">
        <v>0</v>
      </c>
      <c r="AE57" s="8">
        <v>0</v>
      </c>
      <c r="AF57" s="8">
        <v>0</v>
      </c>
      <c r="AG57" s="8">
        <v>0</v>
      </c>
      <c r="AH57" s="8">
        <v>0</v>
      </c>
      <c r="AI57" s="8">
        <f t="shared" si="9"/>
        <v>0</v>
      </c>
      <c r="AJ57" s="8">
        <v>0</v>
      </c>
      <c r="AK57" s="8">
        <v>0</v>
      </c>
      <c r="AL57" s="8">
        <v>0</v>
      </c>
      <c r="AM57" s="8">
        <v>0</v>
      </c>
      <c r="AN57" s="8">
        <v>0</v>
      </c>
      <c r="AO57" s="8">
        <v>0</v>
      </c>
      <c r="AP57" s="8">
        <f t="shared" si="10"/>
        <v>0</v>
      </c>
      <c r="AQ57" s="8">
        <v>0</v>
      </c>
      <c r="AR57" s="8">
        <v>0</v>
      </c>
      <c r="AS57" s="8">
        <v>0</v>
      </c>
      <c r="AT57" s="8">
        <v>0</v>
      </c>
      <c r="AU57" s="8">
        <v>0</v>
      </c>
      <c r="AV57" s="8">
        <v>0</v>
      </c>
      <c r="AW57" s="8">
        <f t="shared" si="11"/>
        <v>0</v>
      </c>
      <c r="AX57" s="29">
        <v>20</v>
      </c>
      <c r="AY57" s="29">
        <v>20</v>
      </c>
      <c r="AZ57" s="6"/>
      <c r="BA57" s="6" t="s">
        <v>73</v>
      </c>
    </row>
    <row r="58" spans="1:53">
      <c r="A58" s="7" t="s">
        <v>55</v>
      </c>
      <c r="B58" s="16" t="s">
        <v>204</v>
      </c>
      <c r="C58" s="24" t="s">
        <v>209</v>
      </c>
      <c r="D58" s="16" t="s">
        <v>206</v>
      </c>
      <c r="E58" s="6" t="s">
        <v>15</v>
      </c>
      <c r="F58" s="6" t="s">
        <v>60</v>
      </c>
      <c r="G58" s="10">
        <v>42058</v>
      </c>
      <c r="H58" s="8">
        <v>10.95</v>
      </c>
      <c r="I58" s="8">
        <v>0.03</v>
      </c>
      <c r="J58" s="8">
        <v>2.25</v>
      </c>
      <c r="K58" s="8">
        <v>10.95</v>
      </c>
      <c r="L58" s="8">
        <f>10.95/365</f>
        <v>0.03</v>
      </c>
      <c r="M58" s="8">
        <v>2.25</v>
      </c>
      <c r="N58" s="8">
        <f t="shared" si="6"/>
        <v>0</v>
      </c>
      <c r="O58" s="8">
        <v>0</v>
      </c>
      <c r="P58" s="8">
        <v>0</v>
      </c>
      <c r="Q58" s="8">
        <v>0</v>
      </c>
      <c r="R58" s="8">
        <v>0</v>
      </c>
      <c r="S58" s="8">
        <v>0</v>
      </c>
      <c r="T58" s="8">
        <v>0</v>
      </c>
      <c r="U58" s="8">
        <f t="shared" si="7"/>
        <v>0</v>
      </c>
      <c r="V58" s="8">
        <v>10.95</v>
      </c>
      <c r="W58" s="8">
        <v>0.03</v>
      </c>
      <c r="X58" s="8">
        <v>2.25</v>
      </c>
      <c r="Y58" s="8">
        <v>10.95</v>
      </c>
      <c r="Z58" s="8">
        <f>10.95/365</f>
        <v>0.03</v>
      </c>
      <c r="AA58" s="8">
        <v>2.25</v>
      </c>
      <c r="AB58" s="8">
        <f t="shared" si="8"/>
        <v>0</v>
      </c>
      <c r="AC58" s="8">
        <v>0</v>
      </c>
      <c r="AD58" s="8">
        <v>0</v>
      </c>
      <c r="AE58" s="8">
        <v>0</v>
      </c>
      <c r="AF58" s="8">
        <v>0</v>
      </c>
      <c r="AG58" s="8">
        <v>0</v>
      </c>
      <c r="AH58" s="8">
        <v>0</v>
      </c>
      <c r="AI58" s="8">
        <f t="shared" si="9"/>
        <v>0</v>
      </c>
      <c r="AJ58" s="8">
        <v>0</v>
      </c>
      <c r="AK58" s="8">
        <v>0</v>
      </c>
      <c r="AL58" s="8">
        <v>0</v>
      </c>
      <c r="AM58" s="8">
        <v>0</v>
      </c>
      <c r="AN58" s="8">
        <v>0</v>
      </c>
      <c r="AO58" s="8">
        <v>0</v>
      </c>
      <c r="AP58" s="8">
        <f t="shared" si="10"/>
        <v>0</v>
      </c>
      <c r="AQ58" s="8">
        <v>0</v>
      </c>
      <c r="AR58" s="8">
        <v>0</v>
      </c>
      <c r="AS58" s="8">
        <v>0</v>
      </c>
      <c r="AT58" s="8">
        <v>0</v>
      </c>
      <c r="AU58" s="8">
        <v>0</v>
      </c>
      <c r="AV58" s="8">
        <v>0</v>
      </c>
      <c r="AW58" s="8">
        <f t="shared" si="11"/>
        <v>0</v>
      </c>
      <c r="AX58" s="29">
        <v>20</v>
      </c>
      <c r="AY58" s="29">
        <v>20</v>
      </c>
      <c r="AZ58" s="6"/>
      <c r="BA58" s="6" t="s">
        <v>73</v>
      </c>
    </row>
    <row r="59" spans="1:53">
      <c r="A59" s="7" t="s">
        <v>55</v>
      </c>
      <c r="B59" s="23" t="s">
        <v>345</v>
      </c>
      <c r="C59" s="23" t="s">
        <v>351</v>
      </c>
      <c r="D59" s="28" t="s">
        <v>339</v>
      </c>
      <c r="E59" s="6" t="s">
        <v>15</v>
      </c>
      <c r="F59" s="6" t="s">
        <v>58</v>
      </c>
      <c r="G59" s="10">
        <v>42068</v>
      </c>
      <c r="H59" s="8">
        <v>0</v>
      </c>
      <c r="I59" s="8">
        <v>0</v>
      </c>
      <c r="J59" s="8">
        <v>0</v>
      </c>
      <c r="K59" s="8">
        <v>3.75</v>
      </c>
      <c r="L59" s="8">
        <f>3.75/365</f>
        <v>1.0273972602739725E-2</v>
      </c>
      <c r="M59" s="8">
        <v>0.5</v>
      </c>
      <c r="N59" s="8">
        <f t="shared" si="6"/>
        <v>1.0273972602739725E-2</v>
      </c>
      <c r="O59" s="8">
        <v>0</v>
      </c>
      <c r="P59" s="8">
        <v>0</v>
      </c>
      <c r="Q59" s="8">
        <v>0</v>
      </c>
      <c r="R59" s="8">
        <v>0</v>
      </c>
      <c r="S59" s="8">
        <v>0</v>
      </c>
      <c r="T59" s="8">
        <v>0</v>
      </c>
      <c r="U59" s="8">
        <f t="shared" si="7"/>
        <v>0</v>
      </c>
      <c r="V59" s="8">
        <v>0</v>
      </c>
      <c r="W59" s="8">
        <v>0</v>
      </c>
      <c r="X59" s="8">
        <v>0</v>
      </c>
      <c r="Y59" s="8">
        <v>3.75</v>
      </c>
      <c r="Z59" s="8">
        <f>3.75/365</f>
        <v>1.0273972602739725E-2</v>
      </c>
      <c r="AA59" s="8">
        <v>0.5</v>
      </c>
      <c r="AB59" s="8">
        <f t="shared" si="8"/>
        <v>1.0273972602739725E-2</v>
      </c>
      <c r="AC59" s="8">
        <v>0</v>
      </c>
      <c r="AD59" s="8">
        <v>0</v>
      </c>
      <c r="AE59" s="8">
        <v>0</v>
      </c>
      <c r="AF59" s="8">
        <v>0</v>
      </c>
      <c r="AG59" s="8">
        <v>0</v>
      </c>
      <c r="AH59" s="8">
        <v>0</v>
      </c>
      <c r="AI59" s="8">
        <f t="shared" si="9"/>
        <v>0</v>
      </c>
      <c r="AJ59" s="8">
        <v>0</v>
      </c>
      <c r="AK59" s="8">
        <v>0</v>
      </c>
      <c r="AL59" s="8">
        <v>0</v>
      </c>
      <c r="AM59" s="8">
        <v>0</v>
      </c>
      <c r="AN59" s="8">
        <v>0</v>
      </c>
      <c r="AO59" s="8">
        <v>0</v>
      </c>
      <c r="AP59" s="8">
        <f t="shared" si="10"/>
        <v>0</v>
      </c>
      <c r="AQ59" s="8">
        <v>0</v>
      </c>
      <c r="AR59" s="8">
        <v>0</v>
      </c>
      <c r="AS59" s="8">
        <v>0</v>
      </c>
      <c r="AT59" s="8">
        <v>0</v>
      </c>
      <c r="AU59" s="8">
        <v>0</v>
      </c>
      <c r="AV59" s="8">
        <v>0</v>
      </c>
      <c r="AW59" s="8">
        <f t="shared" si="11"/>
        <v>0</v>
      </c>
      <c r="AX59" s="29">
        <v>20</v>
      </c>
      <c r="AY59" s="29">
        <v>20</v>
      </c>
      <c r="AZ59" s="6"/>
      <c r="BA59" s="6" t="s">
        <v>73</v>
      </c>
    </row>
    <row r="60" spans="1:53">
      <c r="A60" s="7" t="s">
        <v>55</v>
      </c>
      <c r="B60" s="21" t="s">
        <v>192</v>
      </c>
      <c r="C60" s="12" t="s">
        <v>194</v>
      </c>
      <c r="D60" s="17" t="s">
        <v>193</v>
      </c>
      <c r="E60" s="6" t="s">
        <v>15</v>
      </c>
      <c r="F60" s="6" t="s">
        <v>56</v>
      </c>
      <c r="G60" s="10">
        <v>42073</v>
      </c>
      <c r="H60" s="8">
        <v>32.85</v>
      </c>
      <c r="I60" s="8">
        <v>0.09</v>
      </c>
      <c r="J60" s="8">
        <v>2.7</v>
      </c>
      <c r="K60" s="8">
        <v>25.6</v>
      </c>
      <c r="L60" s="8">
        <f>25.6/365</f>
        <v>7.0136986301369872E-2</v>
      </c>
      <c r="M60" s="8">
        <v>2.85</v>
      </c>
      <c r="N60" s="8">
        <f t="shared" si="6"/>
        <v>-1.9863013698630125E-2</v>
      </c>
      <c r="O60" s="8">
        <v>0</v>
      </c>
      <c r="P60" s="8">
        <v>0</v>
      </c>
      <c r="Q60" s="8">
        <v>0</v>
      </c>
      <c r="R60" s="8">
        <v>0</v>
      </c>
      <c r="S60" s="8">
        <v>0</v>
      </c>
      <c r="T60" s="8">
        <v>0</v>
      </c>
      <c r="U60" s="8">
        <f t="shared" si="7"/>
        <v>0</v>
      </c>
      <c r="V60" s="8">
        <v>32.85</v>
      </c>
      <c r="W60" s="8">
        <v>0.09</v>
      </c>
      <c r="X60" s="8">
        <v>2.7</v>
      </c>
      <c r="Y60" s="8">
        <v>25.6</v>
      </c>
      <c r="Z60" s="8">
        <f>25.6/365</f>
        <v>7.0136986301369872E-2</v>
      </c>
      <c r="AA60" s="8">
        <v>2.85</v>
      </c>
      <c r="AB60" s="8">
        <f t="shared" si="8"/>
        <v>-1.9863013698630125E-2</v>
      </c>
      <c r="AC60" s="8">
        <v>0</v>
      </c>
      <c r="AD60" s="8">
        <v>0</v>
      </c>
      <c r="AE60" s="8">
        <v>0</v>
      </c>
      <c r="AF60" s="8">
        <v>0</v>
      </c>
      <c r="AG60" s="8">
        <v>0</v>
      </c>
      <c r="AH60" s="8">
        <v>0</v>
      </c>
      <c r="AI60" s="8">
        <f t="shared" si="9"/>
        <v>0</v>
      </c>
      <c r="AJ60" s="8">
        <v>0</v>
      </c>
      <c r="AK60" s="8">
        <v>0</v>
      </c>
      <c r="AL60" s="8">
        <v>0</v>
      </c>
      <c r="AM60" s="8">
        <v>0</v>
      </c>
      <c r="AN60" s="8">
        <v>0</v>
      </c>
      <c r="AO60" s="8">
        <v>0</v>
      </c>
      <c r="AP60" s="8">
        <f t="shared" si="10"/>
        <v>0</v>
      </c>
      <c r="AQ60" s="8">
        <v>0</v>
      </c>
      <c r="AR60" s="8">
        <v>0</v>
      </c>
      <c r="AS60" s="8">
        <v>0</v>
      </c>
      <c r="AT60" s="8">
        <v>0</v>
      </c>
      <c r="AU60" s="8">
        <v>0</v>
      </c>
      <c r="AV60" s="8">
        <v>0</v>
      </c>
      <c r="AW60" s="8">
        <f t="shared" si="11"/>
        <v>0</v>
      </c>
      <c r="AX60" s="29">
        <v>20</v>
      </c>
      <c r="AY60" s="29">
        <v>20</v>
      </c>
      <c r="AZ60" s="6"/>
      <c r="BA60" s="6" t="s">
        <v>73</v>
      </c>
    </row>
    <row r="61" spans="1:53">
      <c r="A61" s="7" t="s">
        <v>55</v>
      </c>
      <c r="B61" s="21" t="s">
        <v>274</v>
      </c>
      <c r="C61" s="12" t="s">
        <v>273</v>
      </c>
      <c r="D61" s="16" t="s">
        <v>275</v>
      </c>
      <c r="E61" s="6" t="s">
        <v>15</v>
      </c>
      <c r="F61" s="6" t="s">
        <v>58</v>
      </c>
      <c r="G61" s="27">
        <v>42089</v>
      </c>
      <c r="H61" s="31">
        <v>21.252500000000001</v>
      </c>
      <c r="I61" s="8">
        <f>21.25/365</f>
        <v>5.8219178082191778E-2</v>
      </c>
      <c r="J61" s="8">
        <v>2.83</v>
      </c>
      <c r="K61" s="31">
        <v>21.252500000000001</v>
      </c>
      <c r="L61" s="8">
        <f>21.25/365</f>
        <v>5.8219178082191778E-2</v>
      </c>
      <c r="M61" s="8">
        <v>2.83</v>
      </c>
      <c r="N61" s="8">
        <f t="shared" si="6"/>
        <v>0</v>
      </c>
      <c r="O61" s="8">
        <v>0</v>
      </c>
      <c r="P61" s="8">
        <v>0</v>
      </c>
      <c r="Q61" s="8">
        <v>0</v>
      </c>
      <c r="R61" s="8">
        <v>0</v>
      </c>
      <c r="S61" s="8">
        <v>0</v>
      </c>
      <c r="T61" s="8">
        <v>0</v>
      </c>
      <c r="U61" s="8">
        <f t="shared" si="7"/>
        <v>0</v>
      </c>
      <c r="V61" s="31">
        <v>21.252500000000001</v>
      </c>
      <c r="W61" s="8">
        <f>21.25/365</f>
        <v>5.8219178082191778E-2</v>
      </c>
      <c r="X61" s="8">
        <v>2.83</v>
      </c>
      <c r="Y61" s="31">
        <v>21.252500000000001</v>
      </c>
      <c r="Z61" s="8">
        <f>21.25/365</f>
        <v>5.8219178082191778E-2</v>
      </c>
      <c r="AA61" s="8">
        <v>2.83</v>
      </c>
      <c r="AB61" s="8">
        <f t="shared" si="8"/>
        <v>0</v>
      </c>
      <c r="AC61" s="8">
        <v>0</v>
      </c>
      <c r="AD61" s="8">
        <v>0</v>
      </c>
      <c r="AE61" s="8">
        <v>0</v>
      </c>
      <c r="AF61" s="8">
        <v>0</v>
      </c>
      <c r="AG61" s="8">
        <v>0</v>
      </c>
      <c r="AH61" s="8">
        <v>0</v>
      </c>
      <c r="AI61" s="8">
        <f t="shared" si="9"/>
        <v>0</v>
      </c>
      <c r="AJ61" s="8">
        <v>0</v>
      </c>
      <c r="AK61" s="8">
        <v>0</v>
      </c>
      <c r="AL61" s="8">
        <v>0</v>
      </c>
      <c r="AM61" s="8">
        <v>0</v>
      </c>
      <c r="AN61" s="8">
        <v>0</v>
      </c>
      <c r="AO61" s="8">
        <v>0</v>
      </c>
      <c r="AP61" s="8">
        <f t="shared" si="10"/>
        <v>0</v>
      </c>
      <c r="AQ61" s="8">
        <v>0</v>
      </c>
      <c r="AR61" s="8">
        <v>0</v>
      </c>
      <c r="AS61" s="8">
        <v>0</v>
      </c>
      <c r="AT61" s="8">
        <v>0</v>
      </c>
      <c r="AU61" s="8">
        <v>0</v>
      </c>
      <c r="AV61" s="8">
        <v>0</v>
      </c>
      <c r="AW61" s="8">
        <f t="shared" si="11"/>
        <v>0</v>
      </c>
      <c r="AX61" s="29">
        <v>20</v>
      </c>
      <c r="AY61" s="29">
        <v>20</v>
      </c>
      <c r="AZ61" s="6"/>
      <c r="BA61" s="6" t="s">
        <v>73</v>
      </c>
    </row>
    <row r="62" spans="1:53">
      <c r="A62" s="7" t="s">
        <v>55</v>
      </c>
      <c r="B62" s="23" t="s">
        <v>346</v>
      </c>
      <c r="C62" s="23" t="s">
        <v>352</v>
      </c>
      <c r="D62" s="28" t="s">
        <v>340</v>
      </c>
      <c r="E62" s="6" t="s">
        <v>15</v>
      </c>
      <c r="F62" s="6" t="s">
        <v>58</v>
      </c>
      <c r="G62" s="10">
        <v>42095</v>
      </c>
      <c r="H62" s="8">
        <v>0</v>
      </c>
      <c r="I62" s="8">
        <v>0</v>
      </c>
      <c r="J62" s="8">
        <v>0</v>
      </c>
      <c r="K62" s="8">
        <v>1.25</v>
      </c>
      <c r="L62" s="8">
        <f>1.25/365</f>
        <v>3.4246575342465752E-3</v>
      </c>
      <c r="M62" s="8">
        <v>0.16</v>
      </c>
      <c r="N62" s="8">
        <f t="shared" si="6"/>
        <v>3.4246575342465752E-3</v>
      </c>
      <c r="O62" s="8">
        <v>0</v>
      </c>
      <c r="P62" s="8">
        <v>0</v>
      </c>
      <c r="Q62" s="8">
        <v>0</v>
      </c>
      <c r="R62" s="8">
        <v>0</v>
      </c>
      <c r="S62" s="8">
        <v>0</v>
      </c>
      <c r="T62" s="8">
        <v>0</v>
      </c>
      <c r="U62" s="8">
        <f t="shared" si="7"/>
        <v>0</v>
      </c>
      <c r="V62" s="8">
        <v>0</v>
      </c>
      <c r="W62" s="8">
        <v>0</v>
      </c>
      <c r="X62" s="8">
        <v>0</v>
      </c>
      <c r="Y62" s="8">
        <v>1.25</v>
      </c>
      <c r="Z62" s="8">
        <f>1.25/365</f>
        <v>3.4246575342465752E-3</v>
      </c>
      <c r="AA62" s="8">
        <v>0.16</v>
      </c>
      <c r="AB62" s="8">
        <f t="shared" si="8"/>
        <v>3.4246575342465752E-3</v>
      </c>
      <c r="AC62" s="8">
        <v>0</v>
      </c>
      <c r="AD62" s="8">
        <v>0</v>
      </c>
      <c r="AE62" s="8">
        <v>0</v>
      </c>
      <c r="AF62" s="8">
        <v>0</v>
      </c>
      <c r="AG62" s="8">
        <v>0</v>
      </c>
      <c r="AH62" s="8">
        <v>0</v>
      </c>
      <c r="AI62" s="8">
        <f t="shared" si="9"/>
        <v>0</v>
      </c>
      <c r="AJ62" s="8">
        <v>0</v>
      </c>
      <c r="AK62" s="8">
        <v>0</v>
      </c>
      <c r="AL62" s="8">
        <v>0</v>
      </c>
      <c r="AM62" s="8">
        <v>0</v>
      </c>
      <c r="AN62" s="8">
        <v>0</v>
      </c>
      <c r="AO62" s="8">
        <v>0</v>
      </c>
      <c r="AP62" s="8">
        <f t="shared" si="10"/>
        <v>0</v>
      </c>
      <c r="AQ62" s="8">
        <v>0</v>
      </c>
      <c r="AR62" s="8">
        <v>0</v>
      </c>
      <c r="AS62" s="8">
        <v>0</v>
      </c>
      <c r="AT62" s="8">
        <v>0</v>
      </c>
      <c r="AU62" s="8">
        <v>0</v>
      </c>
      <c r="AV62" s="8">
        <v>0</v>
      </c>
      <c r="AW62" s="8">
        <f t="shared" si="11"/>
        <v>0</v>
      </c>
      <c r="AX62" s="29">
        <v>20</v>
      </c>
      <c r="AY62" s="29">
        <v>20</v>
      </c>
      <c r="AZ62" s="6"/>
      <c r="BA62" s="6" t="s">
        <v>73</v>
      </c>
    </row>
    <row r="63" spans="1:53">
      <c r="A63" s="7" t="s">
        <v>55</v>
      </c>
      <c r="B63" s="23" t="s">
        <v>296</v>
      </c>
      <c r="C63" s="23" t="s">
        <v>286</v>
      </c>
      <c r="D63" s="28" t="s">
        <v>291</v>
      </c>
      <c r="E63" s="6" t="s">
        <v>15</v>
      </c>
      <c r="F63" s="6" t="s">
        <v>58</v>
      </c>
      <c r="G63" s="10">
        <v>42104</v>
      </c>
      <c r="H63" s="8">
        <v>0</v>
      </c>
      <c r="I63" s="8">
        <v>0</v>
      </c>
      <c r="J63" s="8">
        <v>0</v>
      </c>
      <c r="K63" s="8">
        <v>0.62</v>
      </c>
      <c r="L63" s="8">
        <f>0.62/365</f>
        <v>1.6986301369863014E-3</v>
      </c>
      <c r="M63" s="8">
        <v>0.08</v>
      </c>
      <c r="N63" s="8">
        <f t="shared" si="6"/>
        <v>1.6986301369863014E-3</v>
      </c>
      <c r="O63" s="8">
        <v>0</v>
      </c>
      <c r="P63" s="8">
        <v>0</v>
      </c>
      <c r="Q63" s="8">
        <v>0</v>
      </c>
      <c r="R63" s="8">
        <v>0</v>
      </c>
      <c r="S63" s="8">
        <v>0</v>
      </c>
      <c r="T63" s="8">
        <v>0</v>
      </c>
      <c r="U63" s="8">
        <f t="shared" si="7"/>
        <v>0</v>
      </c>
      <c r="V63" s="8">
        <v>0</v>
      </c>
      <c r="W63" s="8">
        <v>0</v>
      </c>
      <c r="X63" s="8">
        <v>0</v>
      </c>
      <c r="Y63" s="8">
        <v>0.62</v>
      </c>
      <c r="Z63" s="8">
        <f>0.62/365</f>
        <v>1.6986301369863014E-3</v>
      </c>
      <c r="AA63" s="8">
        <v>0.08</v>
      </c>
      <c r="AB63" s="8">
        <f t="shared" si="8"/>
        <v>1.6986301369863014E-3</v>
      </c>
      <c r="AC63" s="8">
        <v>0</v>
      </c>
      <c r="AD63" s="8">
        <v>0</v>
      </c>
      <c r="AE63" s="8">
        <v>0</v>
      </c>
      <c r="AF63" s="8">
        <v>0</v>
      </c>
      <c r="AG63" s="8">
        <v>0</v>
      </c>
      <c r="AH63" s="8">
        <v>0</v>
      </c>
      <c r="AI63" s="8">
        <f t="shared" si="9"/>
        <v>0</v>
      </c>
      <c r="AJ63" s="8">
        <v>0</v>
      </c>
      <c r="AK63" s="8">
        <v>0</v>
      </c>
      <c r="AL63" s="8">
        <v>0</v>
      </c>
      <c r="AM63" s="8">
        <v>0</v>
      </c>
      <c r="AN63" s="8">
        <v>0</v>
      </c>
      <c r="AO63" s="8">
        <v>0</v>
      </c>
      <c r="AP63" s="8">
        <f t="shared" si="10"/>
        <v>0</v>
      </c>
      <c r="AQ63" s="8">
        <v>0</v>
      </c>
      <c r="AR63" s="8">
        <v>0</v>
      </c>
      <c r="AS63" s="8">
        <v>0</v>
      </c>
      <c r="AT63" s="8">
        <v>0</v>
      </c>
      <c r="AU63" s="8">
        <v>0</v>
      </c>
      <c r="AV63" s="8">
        <v>0</v>
      </c>
      <c r="AW63" s="8">
        <f t="shared" si="11"/>
        <v>0</v>
      </c>
      <c r="AX63" s="29">
        <v>20</v>
      </c>
      <c r="AY63" s="29">
        <v>20</v>
      </c>
      <c r="AZ63" s="6"/>
      <c r="BA63" s="6" t="s">
        <v>73</v>
      </c>
    </row>
    <row r="64" spans="1:53" ht="26.25">
      <c r="A64" s="7" t="s">
        <v>55</v>
      </c>
      <c r="B64" s="23" t="s">
        <v>297</v>
      </c>
      <c r="C64" s="23" t="s">
        <v>287</v>
      </c>
      <c r="D64" s="28" t="s">
        <v>292</v>
      </c>
      <c r="E64" s="6" t="s">
        <v>15</v>
      </c>
      <c r="F64" s="6" t="s">
        <v>58</v>
      </c>
      <c r="G64" s="10">
        <v>42107</v>
      </c>
      <c r="H64" s="8">
        <v>0</v>
      </c>
      <c r="I64" s="8">
        <v>0</v>
      </c>
      <c r="J64" s="8">
        <v>0</v>
      </c>
      <c r="K64" s="8">
        <v>3.12</v>
      </c>
      <c r="L64" s="8">
        <f>3.12/365</f>
        <v>8.5479452054794524E-3</v>
      </c>
      <c r="M64" s="8">
        <v>0.41</v>
      </c>
      <c r="N64" s="8">
        <f t="shared" si="6"/>
        <v>8.5479452054794524E-3</v>
      </c>
      <c r="O64" s="8">
        <v>0</v>
      </c>
      <c r="P64" s="8">
        <v>0</v>
      </c>
      <c r="Q64" s="8">
        <v>0</v>
      </c>
      <c r="R64" s="8">
        <v>0</v>
      </c>
      <c r="S64" s="8">
        <v>0</v>
      </c>
      <c r="T64" s="8">
        <v>0</v>
      </c>
      <c r="U64" s="8">
        <f t="shared" si="7"/>
        <v>0</v>
      </c>
      <c r="V64" s="8">
        <v>0</v>
      </c>
      <c r="W64" s="8">
        <v>0</v>
      </c>
      <c r="X64" s="8">
        <v>0</v>
      </c>
      <c r="Y64" s="8">
        <v>3.12</v>
      </c>
      <c r="Z64" s="8">
        <f>3.12/365</f>
        <v>8.5479452054794524E-3</v>
      </c>
      <c r="AA64" s="8">
        <v>0.41</v>
      </c>
      <c r="AB64" s="8">
        <f t="shared" si="8"/>
        <v>8.5479452054794524E-3</v>
      </c>
      <c r="AC64" s="8">
        <v>0</v>
      </c>
      <c r="AD64" s="8">
        <v>0</v>
      </c>
      <c r="AE64" s="8">
        <v>0</v>
      </c>
      <c r="AF64" s="8">
        <v>0</v>
      </c>
      <c r="AG64" s="8">
        <v>0</v>
      </c>
      <c r="AH64" s="8">
        <v>0</v>
      </c>
      <c r="AI64" s="8">
        <f t="shared" si="9"/>
        <v>0</v>
      </c>
      <c r="AJ64" s="8">
        <v>0</v>
      </c>
      <c r="AK64" s="8">
        <v>0</v>
      </c>
      <c r="AL64" s="8">
        <v>0</v>
      </c>
      <c r="AM64" s="8">
        <v>0</v>
      </c>
      <c r="AN64" s="8">
        <v>0</v>
      </c>
      <c r="AO64" s="8">
        <v>0</v>
      </c>
      <c r="AP64" s="8">
        <f t="shared" si="10"/>
        <v>0</v>
      </c>
      <c r="AQ64" s="8">
        <v>0</v>
      </c>
      <c r="AR64" s="8">
        <v>0</v>
      </c>
      <c r="AS64" s="8">
        <v>0</v>
      </c>
      <c r="AT64" s="8">
        <v>0</v>
      </c>
      <c r="AU64" s="8">
        <v>0</v>
      </c>
      <c r="AV64" s="8">
        <v>0</v>
      </c>
      <c r="AW64" s="8">
        <f t="shared" si="11"/>
        <v>0</v>
      </c>
      <c r="AX64" s="29">
        <v>20</v>
      </c>
      <c r="AY64" s="29">
        <v>20</v>
      </c>
      <c r="AZ64" s="6"/>
      <c r="BA64" s="6" t="s">
        <v>73</v>
      </c>
    </row>
    <row r="65" spans="1:53" ht="30">
      <c r="A65" s="7" t="s">
        <v>55</v>
      </c>
      <c r="B65" s="15" t="s">
        <v>205</v>
      </c>
      <c r="C65" s="24" t="s">
        <v>210</v>
      </c>
      <c r="D65" s="15" t="s">
        <v>207</v>
      </c>
      <c r="E65" s="6" t="s">
        <v>155</v>
      </c>
      <c r="F65" s="6" t="s">
        <v>56</v>
      </c>
      <c r="G65" s="10">
        <v>42121</v>
      </c>
      <c r="H65" s="8">
        <v>0</v>
      </c>
      <c r="I65" s="8">
        <v>0</v>
      </c>
      <c r="J65" s="8">
        <v>0</v>
      </c>
      <c r="K65" s="8">
        <v>0</v>
      </c>
      <c r="L65" s="8">
        <v>0</v>
      </c>
      <c r="M65" s="8">
        <v>0</v>
      </c>
      <c r="N65" s="8">
        <f t="shared" si="6"/>
        <v>0</v>
      </c>
      <c r="O65" s="8">
        <v>0</v>
      </c>
      <c r="P65" s="8">
        <v>0</v>
      </c>
      <c r="Q65" s="8">
        <v>0</v>
      </c>
      <c r="R65" s="8">
        <v>0</v>
      </c>
      <c r="S65" s="8">
        <v>0</v>
      </c>
      <c r="T65" s="8">
        <v>0</v>
      </c>
      <c r="U65" s="8">
        <f t="shared" si="7"/>
        <v>0</v>
      </c>
      <c r="V65" s="8">
        <v>0</v>
      </c>
      <c r="W65" s="8">
        <v>0</v>
      </c>
      <c r="X65" s="8">
        <v>0</v>
      </c>
      <c r="Y65" s="8">
        <v>0</v>
      </c>
      <c r="Z65" s="8">
        <v>0</v>
      </c>
      <c r="AA65" s="8">
        <v>0</v>
      </c>
      <c r="AB65" s="8">
        <f t="shared" si="8"/>
        <v>0</v>
      </c>
      <c r="AC65" s="8">
        <v>0</v>
      </c>
      <c r="AD65" s="8">
        <v>0</v>
      </c>
      <c r="AE65" s="8">
        <v>0</v>
      </c>
      <c r="AF65" s="8">
        <v>0</v>
      </c>
      <c r="AG65" s="8">
        <v>0</v>
      </c>
      <c r="AH65" s="8">
        <v>0</v>
      </c>
      <c r="AI65" s="8">
        <f t="shared" si="9"/>
        <v>0</v>
      </c>
      <c r="AJ65" s="8">
        <v>0</v>
      </c>
      <c r="AK65" s="8">
        <v>0</v>
      </c>
      <c r="AL65" s="8">
        <v>0</v>
      </c>
      <c r="AM65" s="8">
        <v>0</v>
      </c>
      <c r="AN65" s="8">
        <v>0</v>
      </c>
      <c r="AO65" s="8">
        <v>0</v>
      </c>
      <c r="AP65" s="8">
        <f t="shared" si="10"/>
        <v>0</v>
      </c>
      <c r="AQ65" s="8">
        <v>730</v>
      </c>
      <c r="AR65" s="8">
        <v>2</v>
      </c>
      <c r="AS65" s="8">
        <v>62</v>
      </c>
      <c r="AT65" s="8">
        <v>730</v>
      </c>
      <c r="AU65" s="8">
        <v>2</v>
      </c>
      <c r="AV65" s="8">
        <v>62</v>
      </c>
      <c r="AW65" s="8">
        <f t="shared" si="11"/>
        <v>0</v>
      </c>
      <c r="AX65" s="29">
        <v>20</v>
      </c>
      <c r="AY65" s="29">
        <v>20</v>
      </c>
      <c r="AZ65" s="6" t="s">
        <v>208</v>
      </c>
      <c r="BA65" s="6" t="s">
        <v>73</v>
      </c>
    </row>
    <row r="66" spans="1:53">
      <c r="A66" s="7" t="s">
        <v>55</v>
      </c>
      <c r="B66" s="19" t="s">
        <v>195</v>
      </c>
      <c r="C66" s="24" t="s">
        <v>201</v>
      </c>
      <c r="D66" s="16" t="s">
        <v>198</v>
      </c>
      <c r="E66" s="6" t="s">
        <v>15</v>
      </c>
      <c r="F66" s="6" t="s">
        <v>59</v>
      </c>
      <c r="G66" s="10">
        <v>42128</v>
      </c>
      <c r="H66" s="8">
        <v>308.7</v>
      </c>
      <c r="I66" s="8">
        <v>0.84599999999999997</v>
      </c>
      <c r="J66" s="8">
        <v>55.18</v>
      </c>
      <c r="K66" s="8">
        <v>308.7</v>
      </c>
      <c r="L66" s="8">
        <f>308.7/365</f>
        <v>0.84575342465753423</v>
      </c>
      <c r="M66" s="8">
        <v>55.18</v>
      </c>
      <c r="N66" s="8">
        <f t="shared" ref="N66:N97" si="12">+L66-I66</f>
        <v>-2.4657534246574908E-4</v>
      </c>
      <c r="O66" s="8">
        <v>0</v>
      </c>
      <c r="P66" s="8">
        <v>0</v>
      </c>
      <c r="Q66" s="8">
        <v>0</v>
      </c>
      <c r="R66" s="8">
        <v>0</v>
      </c>
      <c r="S66" s="8">
        <v>0</v>
      </c>
      <c r="T66" s="8">
        <v>0</v>
      </c>
      <c r="U66" s="8">
        <f t="shared" ref="U66:U97" si="13">+S66-P66</f>
        <v>0</v>
      </c>
      <c r="V66" s="8">
        <v>308.7</v>
      </c>
      <c r="W66" s="8">
        <v>0.84599999999999997</v>
      </c>
      <c r="X66" s="8">
        <v>55.18</v>
      </c>
      <c r="Y66" s="8">
        <v>308.7</v>
      </c>
      <c r="Z66" s="8">
        <f>308.7/365</f>
        <v>0.84575342465753423</v>
      </c>
      <c r="AA66" s="8">
        <v>55.18</v>
      </c>
      <c r="AB66" s="8">
        <f t="shared" ref="AB66:AB97" si="14">+Z66-W66</f>
        <v>-2.4657534246574908E-4</v>
      </c>
      <c r="AC66" s="8">
        <v>0</v>
      </c>
      <c r="AD66" s="8">
        <v>0</v>
      </c>
      <c r="AE66" s="8">
        <v>0</v>
      </c>
      <c r="AF66" s="8">
        <v>0</v>
      </c>
      <c r="AG66" s="8">
        <v>0</v>
      </c>
      <c r="AH66" s="8">
        <v>0</v>
      </c>
      <c r="AI66" s="8">
        <f t="shared" ref="AI66:AI97" si="15">+AG66-AD66</f>
        <v>0</v>
      </c>
      <c r="AJ66" s="8">
        <v>0</v>
      </c>
      <c r="AK66" s="8">
        <v>0</v>
      </c>
      <c r="AL66" s="8">
        <v>0</v>
      </c>
      <c r="AM66" s="8">
        <v>0</v>
      </c>
      <c r="AN66" s="8">
        <v>0</v>
      </c>
      <c r="AO66" s="8">
        <v>0</v>
      </c>
      <c r="AP66" s="8">
        <f t="shared" ref="AP66:AP97" si="16">+AN66-AK66</f>
        <v>0</v>
      </c>
      <c r="AQ66" s="8">
        <v>0</v>
      </c>
      <c r="AR66" s="8">
        <v>0</v>
      </c>
      <c r="AS66" s="8">
        <v>0</v>
      </c>
      <c r="AT66" s="8">
        <v>0</v>
      </c>
      <c r="AU66" s="8">
        <v>0</v>
      </c>
      <c r="AV66" s="8">
        <v>0</v>
      </c>
      <c r="AW66" s="8">
        <f t="shared" ref="AW66:AW97" si="17">+AU66-AR66</f>
        <v>0</v>
      </c>
      <c r="AX66" s="29">
        <v>20</v>
      </c>
      <c r="AY66" s="29">
        <v>20</v>
      </c>
      <c r="AZ66" s="6"/>
      <c r="BA66" s="6" t="s">
        <v>73</v>
      </c>
    </row>
    <row r="67" spans="1:53">
      <c r="A67" s="7" t="s">
        <v>55</v>
      </c>
      <c r="B67" s="23" t="s">
        <v>298</v>
      </c>
      <c r="C67" s="23" t="s">
        <v>288</v>
      </c>
      <c r="D67" s="28" t="s">
        <v>293</v>
      </c>
      <c r="E67" s="6" t="s">
        <v>15</v>
      </c>
      <c r="F67" s="6" t="s">
        <v>58</v>
      </c>
      <c r="G67" s="10">
        <v>42130</v>
      </c>
      <c r="H67" s="8">
        <v>0</v>
      </c>
      <c r="I67" s="8">
        <v>0</v>
      </c>
      <c r="J67" s="8">
        <v>0</v>
      </c>
      <c r="K67" s="8">
        <v>3.12</v>
      </c>
      <c r="L67" s="8">
        <f>3.1/365</f>
        <v>8.493150684931507E-3</v>
      </c>
      <c r="M67" s="8">
        <v>0.41</v>
      </c>
      <c r="N67" s="8">
        <f t="shared" si="12"/>
        <v>8.493150684931507E-3</v>
      </c>
      <c r="O67" s="8">
        <v>0</v>
      </c>
      <c r="P67" s="8">
        <v>0</v>
      </c>
      <c r="Q67" s="8">
        <v>0</v>
      </c>
      <c r="R67" s="8">
        <v>0</v>
      </c>
      <c r="S67" s="8">
        <v>0</v>
      </c>
      <c r="T67" s="8">
        <v>0</v>
      </c>
      <c r="U67" s="8">
        <f t="shared" si="13"/>
        <v>0</v>
      </c>
      <c r="V67" s="8">
        <v>0</v>
      </c>
      <c r="W67" s="8">
        <v>0</v>
      </c>
      <c r="X67" s="8">
        <v>0</v>
      </c>
      <c r="Y67" s="8">
        <v>3.12</v>
      </c>
      <c r="Z67" s="8">
        <f>3.1/365</f>
        <v>8.493150684931507E-3</v>
      </c>
      <c r="AA67" s="8">
        <v>0.41</v>
      </c>
      <c r="AB67" s="8">
        <f t="shared" si="14"/>
        <v>8.493150684931507E-3</v>
      </c>
      <c r="AC67" s="8">
        <v>0</v>
      </c>
      <c r="AD67" s="8">
        <v>0</v>
      </c>
      <c r="AE67" s="8">
        <v>0</v>
      </c>
      <c r="AF67" s="8">
        <v>0</v>
      </c>
      <c r="AG67" s="8">
        <v>0</v>
      </c>
      <c r="AH67" s="8">
        <v>0</v>
      </c>
      <c r="AI67" s="8">
        <f t="shared" si="15"/>
        <v>0</v>
      </c>
      <c r="AJ67" s="8">
        <v>0</v>
      </c>
      <c r="AK67" s="8">
        <v>0</v>
      </c>
      <c r="AL67" s="8">
        <v>0</v>
      </c>
      <c r="AM67" s="8">
        <v>0</v>
      </c>
      <c r="AN67" s="8">
        <v>0</v>
      </c>
      <c r="AO67" s="8">
        <v>0</v>
      </c>
      <c r="AP67" s="8">
        <f t="shared" si="16"/>
        <v>0</v>
      </c>
      <c r="AQ67" s="8">
        <v>0</v>
      </c>
      <c r="AR67" s="8">
        <v>0</v>
      </c>
      <c r="AS67" s="8">
        <v>0</v>
      </c>
      <c r="AT67" s="8">
        <v>0</v>
      </c>
      <c r="AU67" s="8">
        <v>0</v>
      </c>
      <c r="AV67" s="8">
        <v>0</v>
      </c>
      <c r="AW67" s="8">
        <f t="shared" si="17"/>
        <v>0</v>
      </c>
      <c r="AX67" s="29">
        <v>20</v>
      </c>
      <c r="AY67" s="29">
        <v>20</v>
      </c>
      <c r="AZ67" s="6"/>
      <c r="BA67" s="6" t="s">
        <v>73</v>
      </c>
    </row>
    <row r="68" spans="1:53" ht="30">
      <c r="A68" s="7" t="s">
        <v>55</v>
      </c>
      <c r="B68" s="22" t="s">
        <v>213</v>
      </c>
      <c r="C68" s="24" t="s">
        <v>220</v>
      </c>
      <c r="D68" s="17" t="s">
        <v>216</v>
      </c>
      <c r="E68" s="6" t="s">
        <v>155</v>
      </c>
      <c r="F68" s="6" t="s">
        <v>56</v>
      </c>
      <c r="G68" s="10">
        <v>42142</v>
      </c>
      <c r="H68" s="8">
        <v>0</v>
      </c>
      <c r="I68" s="8">
        <v>0</v>
      </c>
      <c r="J68" s="8">
        <v>0</v>
      </c>
      <c r="K68" s="8">
        <v>0</v>
      </c>
      <c r="L68" s="8">
        <v>0</v>
      </c>
      <c r="M68" s="8">
        <v>0</v>
      </c>
      <c r="N68" s="8">
        <f t="shared" si="12"/>
        <v>0</v>
      </c>
      <c r="O68" s="8">
        <v>0</v>
      </c>
      <c r="P68" s="8">
        <v>0</v>
      </c>
      <c r="Q68" s="8">
        <v>0</v>
      </c>
      <c r="R68" s="8">
        <v>0</v>
      </c>
      <c r="S68" s="8">
        <v>0</v>
      </c>
      <c r="T68" s="8">
        <v>0</v>
      </c>
      <c r="U68" s="8">
        <f t="shared" si="13"/>
        <v>0</v>
      </c>
      <c r="V68" s="8">
        <v>0</v>
      </c>
      <c r="W68" s="8">
        <v>0</v>
      </c>
      <c r="X68" s="8">
        <v>0</v>
      </c>
      <c r="Y68" s="8">
        <v>0</v>
      </c>
      <c r="Z68" s="8">
        <v>0</v>
      </c>
      <c r="AA68" s="8">
        <v>0</v>
      </c>
      <c r="AB68" s="8">
        <f t="shared" si="14"/>
        <v>0</v>
      </c>
      <c r="AC68" s="8">
        <v>0</v>
      </c>
      <c r="AD68" s="8">
        <v>0</v>
      </c>
      <c r="AE68" s="8">
        <v>0</v>
      </c>
      <c r="AF68" s="8">
        <v>0</v>
      </c>
      <c r="AG68" s="8">
        <v>0</v>
      </c>
      <c r="AH68" s="8">
        <v>0</v>
      </c>
      <c r="AI68" s="8">
        <f t="shared" si="15"/>
        <v>0</v>
      </c>
      <c r="AJ68" s="8">
        <v>0</v>
      </c>
      <c r="AK68" s="8">
        <v>0</v>
      </c>
      <c r="AL68" s="8">
        <v>0</v>
      </c>
      <c r="AM68" s="8">
        <v>0</v>
      </c>
      <c r="AN68" s="8">
        <v>0</v>
      </c>
      <c r="AO68" s="8">
        <v>0</v>
      </c>
      <c r="AP68" s="8">
        <f t="shared" si="16"/>
        <v>0</v>
      </c>
      <c r="AQ68" s="8">
        <v>1460</v>
      </c>
      <c r="AR68" s="8">
        <v>4</v>
      </c>
      <c r="AS68" s="8">
        <v>124</v>
      </c>
      <c r="AT68" s="8">
        <v>2190</v>
      </c>
      <c r="AU68" s="8">
        <v>6</v>
      </c>
      <c r="AV68" s="8">
        <v>186</v>
      </c>
      <c r="AW68" s="8">
        <f t="shared" si="17"/>
        <v>2</v>
      </c>
      <c r="AX68" s="29">
        <v>20</v>
      </c>
      <c r="AY68" s="29">
        <v>20</v>
      </c>
      <c r="AZ68" s="6" t="s">
        <v>217</v>
      </c>
      <c r="BA68" s="6" t="s">
        <v>73</v>
      </c>
    </row>
    <row r="69" spans="1:53" ht="26.25">
      <c r="A69" s="7" t="s">
        <v>55</v>
      </c>
      <c r="B69" s="23" t="s">
        <v>323</v>
      </c>
      <c r="C69" s="23" t="s">
        <v>322</v>
      </c>
      <c r="D69" s="28" t="s">
        <v>321</v>
      </c>
      <c r="E69" s="6" t="s">
        <v>15</v>
      </c>
      <c r="F69" s="6" t="s">
        <v>59</v>
      </c>
      <c r="G69" s="33">
        <v>42144</v>
      </c>
      <c r="H69" s="31">
        <v>59.2</v>
      </c>
      <c r="I69" s="8">
        <f>59.2/365</f>
        <v>0.16219178082191782</v>
      </c>
      <c r="J69" s="8">
        <v>9.06</v>
      </c>
      <c r="K69" s="31">
        <v>59.2</v>
      </c>
      <c r="L69" s="8">
        <f>59.2/365</f>
        <v>0.16219178082191782</v>
      </c>
      <c r="M69" s="8">
        <v>9.06</v>
      </c>
      <c r="N69" s="8">
        <f t="shared" si="12"/>
        <v>0</v>
      </c>
      <c r="O69" s="8">
        <v>0</v>
      </c>
      <c r="P69" s="8">
        <v>0</v>
      </c>
      <c r="Q69" s="8">
        <v>0</v>
      </c>
      <c r="R69" s="8">
        <v>0</v>
      </c>
      <c r="S69" s="8">
        <v>0</v>
      </c>
      <c r="T69" s="8">
        <v>0</v>
      </c>
      <c r="U69" s="8">
        <f t="shared" si="13"/>
        <v>0</v>
      </c>
      <c r="V69" s="31">
        <v>59.2</v>
      </c>
      <c r="W69" s="8">
        <f>59.2/365</f>
        <v>0.16219178082191782</v>
      </c>
      <c r="X69" s="8">
        <v>9.06</v>
      </c>
      <c r="Y69" s="31">
        <v>59.2</v>
      </c>
      <c r="Z69" s="8">
        <f>59.2/365</f>
        <v>0.16219178082191782</v>
      </c>
      <c r="AA69" s="8">
        <v>9.06</v>
      </c>
      <c r="AB69" s="8">
        <f t="shared" si="14"/>
        <v>0</v>
      </c>
      <c r="AC69" s="8">
        <v>0</v>
      </c>
      <c r="AD69" s="8">
        <v>0</v>
      </c>
      <c r="AE69" s="8">
        <v>0</v>
      </c>
      <c r="AF69" s="8">
        <v>0</v>
      </c>
      <c r="AG69" s="8">
        <v>0</v>
      </c>
      <c r="AH69" s="8">
        <v>0</v>
      </c>
      <c r="AI69" s="8">
        <f t="shared" si="15"/>
        <v>0</v>
      </c>
      <c r="AJ69" s="8">
        <v>0</v>
      </c>
      <c r="AK69" s="8">
        <v>0</v>
      </c>
      <c r="AL69" s="8">
        <v>0</v>
      </c>
      <c r="AM69" s="8">
        <v>0</v>
      </c>
      <c r="AN69" s="8">
        <v>0</v>
      </c>
      <c r="AO69" s="8">
        <v>0</v>
      </c>
      <c r="AP69" s="8">
        <f t="shared" si="16"/>
        <v>0</v>
      </c>
      <c r="AQ69" s="8">
        <v>0</v>
      </c>
      <c r="AR69" s="8">
        <v>0</v>
      </c>
      <c r="AS69" s="8">
        <v>0</v>
      </c>
      <c r="AT69" s="8">
        <v>0</v>
      </c>
      <c r="AU69" s="8">
        <v>0</v>
      </c>
      <c r="AV69" s="8">
        <v>0</v>
      </c>
      <c r="AW69" s="8">
        <f t="shared" si="17"/>
        <v>0</v>
      </c>
      <c r="AX69" s="29">
        <v>5</v>
      </c>
      <c r="AY69" s="29">
        <v>5</v>
      </c>
      <c r="AZ69" s="6" t="s">
        <v>373</v>
      </c>
      <c r="BA69" s="6" t="s">
        <v>73</v>
      </c>
    </row>
    <row r="70" spans="1:53">
      <c r="A70" s="7" t="s">
        <v>55</v>
      </c>
      <c r="B70" s="15" t="s">
        <v>212</v>
      </c>
      <c r="C70" s="24" t="s">
        <v>219</v>
      </c>
      <c r="D70" s="15" t="s">
        <v>215</v>
      </c>
      <c r="E70" s="6" t="s">
        <v>15</v>
      </c>
      <c r="F70" s="6" t="s">
        <v>59</v>
      </c>
      <c r="G70" s="10">
        <v>42163</v>
      </c>
      <c r="H70" s="8">
        <v>58.13</v>
      </c>
      <c r="I70" s="8">
        <v>0.16</v>
      </c>
      <c r="J70" s="8">
        <v>8.9</v>
      </c>
      <c r="K70" s="8">
        <v>55.84</v>
      </c>
      <c r="L70" s="8">
        <f>55.84/365</f>
        <v>0.15298630136986302</v>
      </c>
      <c r="M70" s="8">
        <v>8.89</v>
      </c>
      <c r="N70" s="8">
        <f t="shared" si="12"/>
        <v>-7.013698630136983E-3</v>
      </c>
      <c r="O70" s="8">
        <v>0</v>
      </c>
      <c r="P70" s="8">
        <v>0</v>
      </c>
      <c r="Q70" s="8">
        <v>0</v>
      </c>
      <c r="R70" s="8">
        <v>0</v>
      </c>
      <c r="S70" s="8">
        <v>0</v>
      </c>
      <c r="T70" s="8">
        <v>0</v>
      </c>
      <c r="U70" s="8">
        <f t="shared" si="13"/>
        <v>0</v>
      </c>
      <c r="V70" s="8">
        <v>58.13</v>
      </c>
      <c r="W70" s="8">
        <v>0.16</v>
      </c>
      <c r="X70" s="8">
        <v>8.9</v>
      </c>
      <c r="Y70" s="8">
        <v>55.84</v>
      </c>
      <c r="Z70" s="8">
        <f>55.84/365</f>
        <v>0.15298630136986302</v>
      </c>
      <c r="AA70" s="8">
        <v>8.89</v>
      </c>
      <c r="AB70" s="8">
        <f t="shared" si="14"/>
        <v>-7.013698630136983E-3</v>
      </c>
      <c r="AC70" s="8">
        <v>0</v>
      </c>
      <c r="AD70" s="8">
        <v>0</v>
      </c>
      <c r="AE70" s="8">
        <v>0</v>
      </c>
      <c r="AF70" s="8">
        <v>0</v>
      </c>
      <c r="AG70" s="8">
        <v>0</v>
      </c>
      <c r="AH70" s="8">
        <v>0</v>
      </c>
      <c r="AI70" s="8">
        <f t="shared" si="15"/>
        <v>0</v>
      </c>
      <c r="AJ70" s="8">
        <v>0</v>
      </c>
      <c r="AK70" s="8">
        <v>0</v>
      </c>
      <c r="AL70" s="8">
        <v>0</v>
      </c>
      <c r="AM70" s="8">
        <v>0</v>
      </c>
      <c r="AN70" s="8">
        <v>0</v>
      </c>
      <c r="AO70" s="8">
        <v>0</v>
      </c>
      <c r="AP70" s="8">
        <f t="shared" si="16"/>
        <v>0</v>
      </c>
      <c r="AQ70" s="8">
        <v>0</v>
      </c>
      <c r="AR70" s="8">
        <v>0</v>
      </c>
      <c r="AS70" s="8">
        <v>0</v>
      </c>
      <c r="AT70" s="8">
        <v>0</v>
      </c>
      <c r="AU70" s="8">
        <v>0</v>
      </c>
      <c r="AV70" s="8">
        <v>0</v>
      </c>
      <c r="AW70" s="8">
        <f t="shared" si="17"/>
        <v>0</v>
      </c>
      <c r="AX70" s="29">
        <v>20</v>
      </c>
      <c r="AY70" s="29">
        <v>20</v>
      </c>
      <c r="AZ70" s="6"/>
      <c r="BA70" s="6" t="s">
        <v>73</v>
      </c>
    </row>
    <row r="71" spans="1:53">
      <c r="A71" s="7" t="s">
        <v>55</v>
      </c>
      <c r="B71" s="23" t="s">
        <v>278</v>
      </c>
      <c r="C71" s="23" t="s">
        <v>279</v>
      </c>
      <c r="D71" s="28" t="s">
        <v>277</v>
      </c>
      <c r="E71" s="6" t="s">
        <v>15</v>
      </c>
      <c r="F71" s="6" t="s">
        <v>58</v>
      </c>
      <c r="G71" s="10">
        <v>42166</v>
      </c>
      <c r="H71" s="8">
        <v>0</v>
      </c>
      <c r="I71" s="8">
        <v>0</v>
      </c>
      <c r="J71" s="8">
        <v>0</v>
      </c>
      <c r="K71" s="8">
        <v>2.69</v>
      </c>
      <c r="L71" s="8">
        <f>2.69/365</f>
        <v>7.3698630136986298E-3</v>
      </c>
      <c r="M71" s="8">
        <v>0.34</v>
      </c>
      <c r="N71" s="8">
        <f t="shared" si="12"/>
        <v>7.3698630136986298E-3</v>
      </c>
      <c r="O71" s="8">
        <v>0</v>
      </c>
      <c r="P71" s="8">
        <v>0</v>
      </c>
      <c r="Q71" s="8">
        <v>0</v>
      </c>
      <c r="R71" s="8">
        <v>0</v>
      </c>
      <c r="S71" s="8">
        <v>0</v>
      </c>
      <c r="T71" s="8">
        <v>0</v>
      </c>
      <c r="U71" s="8">
        <f t="shared" si="13"/>
        <v>0</v>
      </c>
      <c r="V71" s="8">
        <v>0</v>
      </c>
      <c r="W71" s="8">
        <v>0</v>
      </c>
      <c r="X71" s="8">
        <v>0</v>
      </c>
      <c r="Y71" s="8">
        <v>2.69</v>
      </c>
      <c r="Z71" s="8">
        <f>2.69/365</f>
        <v>7.3698630136986298E-3</v>
      </c>
      <c r="AA71" s="8">
        <v>0.34</v>
      </c>
      <c r="AB71" s="8">
        <f t="shared" si="14"/>
        <v>7.3698630136986298E-3</v>
      </c>
      <c r="AC71" s="8">
        <v>0</v>
      </c>
      <c r="AD71" s="8">
        <v>0</v>
      </c>
      <c r="AE71" s="8">
        <v>0</v>
      </c>
      <c r="AF71" s="8">
        <v>0</v>
      </c>
      <c r="AG71" s="8">
        <v>0</v>
      </c>
      <c r="AH71" s="8">
        <v>0</v>
      </c>
      <c r="AI71" s="8">
        <f t="shared" si="15"/>
        <v>0</v>
      </c>
      <c r="AJ71" s="8">
        <v>0</v>
      </c>
      <c r="AK71" s="8">
        <v>0</v>
      </c>
      <c r="AL71" s="8">
        <v>0</v>
      </c>
      <c r="AM71" s="8">
        <v>0</v>
      </c>
      <c r="AN71" s="8">
        <v>0</v>
      </c>
      <c r="AO71" s="8">
        <v>0</v>
      </c>
      <c r="AP71" s="8">
        <f t="shared" si="16"/>
        <v>0</v>
      </c>
      <c r="AQ71" s="8">
        <v>0</v>
      </c>
      <c r="AR71" s="8">
        <v>0</v>
      </c>
      <c r="AS71" s="8">
        <v>0</v>
      </c>
      <c r="AT71" s="8">
        <v>0</v>
      </c>
      <c r="AU71" s="8">
        <v>0</v>
      </c>
      <c r="AV71" s="8">
        <v>0</v>
      </c>
      <c r="AW71" s="8">
        <f t="shared" si="17"/>
        <v>0</v>
      </c>
      <c r="AX71" s="29">
        <v>20</v>
      </c>
      <c r="AY71" s="29">
        <v>20</v>
      </c>
      <c r="AZ71" s="6"/>
      <c r="BA71" s="6" t="s">
        <v>73</v>
      </c>
    </row>
    <row r="72" spans="1:53">
      <c r="A72" s="7" t="s">
        <v>55</v>
      </c>
      <c r="B72" s="23" t="s">
        <v>347</v>
      </c>
      <c r="C72" s="23" t="s">
        <v>353</v>
      </c>
      <c r="D72" s="28" t="s">
        <v>341</v>
      </c>
      <c r="E72" s="6" t="s">
        <v>15</v>
      </c>
      <c r="F72" s="6" t="s">
        <v>59</v>
      </c>
      <c r="G72" s="10">
        <v>42171</v>
      </c>
      <c r="H72" s="8">
        <v>0</v>
      </c>
      <c r="I72" s="8">
        <v>0</v>
      </c>
      <c r="J72" s="8">
        <v>0</v>
      </c>
      <c r="K72" s="8">
        <v>6.73</v>
      </c>
      <c r="L72" s="8">
        <f>6.73/365</f>
        <v>1.8438356164383562E-2</v>
      </c>
      <c r="M72" s="8">
        <v>1.68</v>
      </c>
      <c r="N72" s="8">
        <f t="shared" si="12"/>
        <v>1.8438356164383562E-2</v>
      </c>
      <c r="O72" s="8">
        <v>0</v>
      </c>
      <c r="P72" s="8">
        <v>0</v>
      </c>
      <c r="Q72" s="8">
        <v>0</v>
      </c>
      <c r="R72" s="8">
        <v>0</v>
      </c>
      <c r="S72" s="8">
        <v>0</v>
      </c>
      <c r="T72" s="8">
        <v>0</v>
      </c>
      <c r="U72" s="8">
        <f t="shared" si="13"/>
        <v>0</v>
      </c>
      <c r="V72" s="8">
        <v>0</v>
      </c>
      <c r="W72" s="8">
        <v>0</v>
      </c>
      <c r="X72" s="8">
        <v>0</v>
      </c>
      <c r="Y72" s="8">
        <v>6.73</v>
      </c>
      <c r="Z72" s="8">
        <f>6.73/365</f>
        <v>1.8438356164383562E-2</v>
      </c>
      <c r="AA72" s="8">
        <v>1.68</v>
      </c>
      <c r="AB72" s="8">
        <f t="shared" si="14"/>
        <v>1.8438356164383562E-2</v>
      </c>
      <c r="AC72" s="8">
        <v>0</v>
      </c>
      <c r="AD72" s="8">
        <v>0</v>
      </c>
      <c r="AE72" s="8">
        <v>0</v>
      </c>
      <c r="AF72" s="8">
        <v>0</v>
      </c>
      <c r="AG72" s="8">
        <v>0</v>
      </c>
      <c r="AH72" s="8">
        <v>0</v>
      </c>
      <c r="AI72" s="8">
        <f t="shared" si="15"/>
        <v>0</v>
      </c>
      <c r="AJ72" s="8">
        <v>0</v>
      </c>
      <c r="AK72" s="8">
        <v>0</v>
      </c>
      <c r="AL72" s="8">
        <v>0</v>
      </c>
      <c r="AM72" s="8">
        <v>0</v>
      </c>
      <c r="AN72" s="8">
        <v>0</v>
      </c>
      <c r="AO72" s="8">
        <v>0</v>
      </c>
      <c r="AP72" s="8">
        <f t="shared" si="16"/>
        <v>0</v>
      </c>
      <c r="AQ72" s="8">
        <v>0</v>
      </c>
      <c r="AR72" s="8">
        <v>0</v>
      </c>
      <c r="AS72" s="8">
        <v>0</v>
      </c>
      <c r="AT72" s="8">
        <v>0</v>
      </c>
      <c r="AU72" s="8">
        <v>0</v>
      </c>
      <c r="AV72" s="8">
        <v>0</v>
      </c>
      <c r="AW72" s="8">
        <f t="shared" si="17"/>
        <v>0</v>
      </c>
      <c r="AX72" s="29">
        <v>20</v>
      </c>
      <c r="AY72" s="29">
        <v>20</v>
      </c>
      <c r="AZ72" s="6"/>
      <c r="BA72" s="6" t="s">
        <v>73</v>
      </c>
    </row>
    <row r="73" spans="1:53">
      <c r="A73" s="7" t="s">
        <v>55</v>
      </c>
      <c r="B73" s="15" t="s">
        <v>211</v>
      </c>
      <c r="C73" s="24" t="s">
        <v>218</v>
      </c>
      <c r="D73" s="15" t="s">
        <v>214</v>
      </c>
      <c r="E73" s="6" t="s">
        <v>15</v>
      </c>
      <c r="F73" s="6" t="s">
        <v>59</v>
      </c>
      <c r="G73" s="10">
        <v>42184</v>
      </c>
      <c r="H73" s="8">
        <v>848.3</v>
      </c>
      <c r="I73" s="8">
        <v>2.3199999999999998</v>
      </c>
      <c r="J73" s="8">
        <v>355.4</v>
      </c>
      <c r="K73" s="8">
        <v>834.3</v>
      </c>
      <c r="L73" s="8">
        <f>834.3/365</f>
        <v>2.2857534246575342</v>
      </c>
      <c r="M73" s="8">
        <v>345.83</v>
      </c>
      <c r="N73" s="8">
        <f t="shared" si="12"/>
        <v>-3.4246575342465668E-2</v>
      </c>
      <c r="O73" s="8">
        <v>0</v>
      </c>
      <c r="P73" s="8">
        <v>0</v>
      </c>
      <c r="Q73" s="8">
        <v>0</v>
      </c>
      <c r="R73" s="8">
        <v>0</v>
      </c>
      <c r="S73" s="8">
        <v>0</v>
      </c>
      <c r="T73" s="8">
        <v>0</v>
      </c>
      <c r="U73" s="8">
        <f t="shared" si="13"/>
        <v>0</v>
      </c>
      <c r="V73" s="8">
        <v>848.3</v>
      </c>
      <c r="W73" s="8">
        <v>2.3199999999999998</v>
      </c>
      <c r="X73" s="8">
        <v>355.4</v>
      </c>
      <c r="Y73" s="8">
        <v>834.3</v>
      </c>
      <c r="Z73" s="8">
        <f>834.3/365</f>
        <v>2.2857534246575342</v>
      </c>
      <c r="AA73" s="8">
        <v>345.83</v>
      </c>
      <c r="AB73" s="8">
        <f t="shared" si="14"/>
        <v>-3.4246575342465668E-2</v>
      </c>
      <c r="AC73" s="8">
        <v>0</v>
      </c>
      <c r="AD73" s="8">
        <v>0</v>
      </c>
      <c r="AE73" s="8">
        <v>0</v>
      </c>
      <c r="AF73" s="8">
        <v>0</v>
      </c>
      <c r="AG73" s="8">
        <v>0</v>
      </c>
      <c r="AH73" s="8">
        <v>0</v>
      </c>
      <c r="AI73" s="8">
        <f t="shared" si="15"/>
        <v>0</v>
      </c>
      <c r="AJ73" s="8">
        <v>0</v>
      </c>
      <c r="AK73" s="8">
        <v>0</v>
      </c>
      <c r="AL73" s="8">
        <v>0</v>
      </c>
      <c r="AM73" s="8">
        <v>0</v>
      </c>
      <c r="AN73" s="8">
        <v>0</v>
      </c>
      <c r="AO73" s="8">
        <v>0</v>
      </c>
      <c r="AP73" s="8">
        <f t="shared" si="16"/>
        <v>0</v>
      </c>
      <c r="AQ73" s="8">
        <v>0</v>
      </c>
      <c r="AR73" s="8">
        <v>0</v>
      </c>
      <c r="AS73" s="8">
        <v>0</v>
      </c>
      <c r="AT73" s="8">
        <v>0</v>
      </c>
      <c r="AU73" s="8">
        <v>0</v>
      </c>
      <c r="AV73" s="8">
        <v>0</v>
      </c>
      <c r="AW73" s="8">
        <f t="shared" si="17"/>
        <v>0</v>
      </c>
      <c r="AX73" s="29">
        <v>20</v>
      </c>
      <c r="AY73" s="29">
        <v>20</v>
      </c>
      <c r="AZ73" s="6"/>
      <c r="BA73" s="6" t="s">
        <v>73</v>
      </c>
    </row>
    <row r="74" spans="1:53">
      <c r="A74" s="7" t="s">
        <v>55</v>
      </c>
      <c r="B74" s="15" t="s">
        <v>223</v>
      </c>
      <c r="C74" s="24" t="s">
        <v>227</v>
      </c>
      <c r="D74" s="15" t="s">
        <v>226</v>
      </c>
      <c r="E74" s="6" t="s">
        <v>15</v>
      </c>
      <c r="F74" s="6" t="s">
        <v>58</v>
      </c>
      <c r="G74" s="10">
        <v>42187</v>
      </c>
      <c r="H74" s="8">
        <v>31.42</v>
      </c>
      <c r="I74" s="8">
        <v>0.09</v>
      </c>
      <c r="J74" s="8">
        <v>4.3</v>
      </c>
      <c r="K74" s="8">
        <v>20.2</v>
      </c>
      <c r="L74" s="8">
        <f>20.2/365</f>
        <v>5.5342465753424656E-2</v>
      </c>
      <c r="M74" s="8">
        <v>2.8</v>
      </c>
      <c r="N74" s="8">
        <f t="shared" si="12"/>
        <v>-3.465753424657534E-2</v>
      </c>
      <c r="O74" s="8">
        <v>0</v>
      </c>
      <c r="P74" s="8">
        <v>0</v>
      </c>
      <c r="Q74" s="8">
        <v>0</v>
      </c>
      <c r="R74" s="8">
        <v>0</v>
      </c>
      <c r="S74" s="8">
        <v>0</v>
      </c>
      <c r="T74" s="8">
        <v>0</v>
      </c>
      <c r="U74" s="8">
        <f t="shared" si="13"/>
        <v>0</v>
      </c>
      <c r="V74" s="8">
        <v>31.42</v>
      </c>
      <c r="W74" s="8">
        <v>0.09</v>
      </c>
      <c r="X74" s="8">
        <v>4.3</v>
      </c>
      <c r="Y74" s="8">
        <v>20.2</v>
      </c>
      <c r="Z74" s="8">
        <f>20.2/365</f>
        <v>5.5342465753424656E-2</v>
      </c>
      <c r="AA74" s="8">
        <v>2.8</v>
      </c>
      <c r="AB74" s="8">
        <f t="shared" si="14"/>
        <v>-3.465753424657534E-2</v>
      </c>
      <c r="AC74" s="8">
        <v>0</v>
      </c>
      <c r="AD74" s="8">
        <v>0</v>
      </c>
      <c r="AE74" s="8">
        <v>0</v>
      </c>
      <c r="AF74" s="8">
        <v>0</v>
      </c>
      <c r="AG74" s="8">
        <v>0</v>
      </c>
      <c r="AH74" s="8">
        <v>0</v>
      </c>
      <c r="AI74" s="8">
        <f t="shared" si="15"/>
        <v>0</v>
      </c>
      <c r="AJ74" s="8">
        <v>0</v>
      </c>
      <c r="AK74" s="8">
        <v>0</v>
      </c>
      <c r="AL74" s="8">
        <v>0</v>
      </c>
      <c r="AM74" s="8">
        <v>0</v>
      </c>
      <c r="AN74" s="8">
        <v>0</v>
      </c>
      <c r="AO74" s="8">
        <v>0</v>
      </c>
      <c r="AP74" s="8">
        <f t="shared" si="16"/>
        <v>0</v>
      </c>
      <c r="AQ74" s="8">
        <v>0</v>
      </c>
      <c r="AR74" s="8">
        <v>0</v>
      </c>
      <c r="AS74" s="8">
        <v>0</v>
      </c>
      <c r="AT74" s="8">
        <v>0</v>
      </c>
      <c r="AU74" s="8">
        <v>0</v>
      </c>
      <c r="AV74" s="8">
        <v>0</v>
      </c>
      <c r="AW74" s="8">
        <f t="shared" si="17"/>
        <v>0</v>
      </c>
      <c r="AX74" s="29">
        <v>20</v>
      </c>
      <c r="AY74" s="29">
        <v>20</v>
      </c>
      <c r="AZ74" s="6"/>
      <c r="BA74" s="6" t="s">
        <v>73</v>
      </c>
    </row>
    <row r="75" spans="1:53">
      <c r="A75" s="7" t="s">
        <v>55</v>
      </c>
      <c r="B75" s="15" t="s">
        <v>230</v>
      </c>
      <c r="C75" s="24" t="s">
        <v>234</v>
      </c>
      <c r="D75" s="15" t="s">
        <v>233</v>
      </c>
      <c r="E75" s="6" t="s">
        <v>15</v>
      </c>
      <c r="F75" s="6" t="s">
        <v>60</v>
      </c>
      <c r="G75" s="10">
        <v>42205</v>
      </c>
      <c r="H75" s="8">
        <v>36.130000000000003</v>
      </c>
      <c r="I75" s="8">
        <v>9.9000000000000005E-2</v>
      </c>
      <c r="J75" s="8">
        <v>1.9</v>
      </c>
      <c r="K75" s="8">
        <v>36.130000000000003</v>
      </c>
      <c r="L75" s="8">
        <f>36.13/365</f>
        <v>9.8986301369863014E-2</v>
      </c>
      <c r="M75" s="8">
        <v>1.9</v>
      </c>
      <c r="N75" s="8">
        <f t="shared" si="12"/>
        <v>-1.3698630136990686E-5</v>
      </c>
      <c r="O75" s="8">
        <v>0</v>
      </c>
      <c r="P75" s="8">
        <v>0</v>
      </c>
      <c r="Q75" s="8">
        <v>0</v>
      </c>
      <c r="R75" s="8">
        <v>0</v>
      </c>
      <c r="S75" s="8">
        <v>0</v>
      </c>
      <c r="T75" s="8">
        <v>0</v>
      </c>
      <c r="U75" s="8">
        <f t="shared" si="13"/>
        <v>0</v>
      </c>
      <c r="V75" s="8">
        <v>36.130000000000003</v>
      </c>
      <c r="W75" s="8">
        <v>9.9000000000000005E-2</v>
      </c>
      <c r="X75" s="8">
        <v>1.9</v>
      </c>
      <c r="Y75" s="8">
        <v>36.130000000000003</v>
      </c>
      <c r="Z75" s="8">
        <f>36.13/365</f>
        <v>9.8986301369863014E-2</v>
      </c>
      <c r="AA75" s="8">
        <v>1.9</v>
      </c>
      <c r="AB75" s="8">
        <f t="shared" si="14"/>
        <v>-1.3698630136990686E-5</v>
      </c>
      <c r="AC75" s="8">
        <v>0</v>
      </c>
      <c r="AD75" s="8">
        <v>0</v>
      </c>
      <c r="AE75" s="8">
        <v>0</v>
      </c>
      <c r="AF75" s="8">
        <v>0</v>
      </c>
      <c r="AG75" s="8">
        <v>0</v>
      </c>
      <c r="AH75" s="8">
        <v>0</v>
      </c>
      <c r="AI75" s="8">
        <f t="shared" si="15"/>
        <v>0</v>
      </c>
      <c r="AJ75" s="8">
        <v>0</v>
      </c>
      <c r="AK75" s="8">
        <v>0</v>
      </c>
      <c r="AL75" s="8">
        <v>0</v>
      </c>
      <c r="AM75" s="8">
        <v>0</v>
      </c>
      <c r="AN75" s="8">
        <v>0</v>
      </c>
      <c r="AO75" s="8">
        <v>0</v>
      </c>
      <c r="AP75" s="8">
        <f t="shared" si="16"/>
        <v>0</v>
      </c>
      <c r="AQ75" s="8">
        <v>0</v>
      </c>
      <c r="AR75" s="8">
        <v>0</v>
      </c>
      <c r="AS75" s="8">
        <v>0</v>
      </c>
      <c r="AT75" s="8">
        <v>0</v>
      </c>
      <c r="AU75" s="8">
        <v>0</v>
      </c>
      <c r="AV75" s="8">
        <v>0</v>
      </c>
      <c r="AW75" s="8">
        <f t="shared" si="17"/>
        <v>0</v>
      </c>
      <c r="AX75" s="29">
        <v>20</v>
      </c>
      <c r="AY75" s="29">
        <v>20</v>
      </c>
      <c r="AZ75" s="6"/>
      <c r="BA75" s="6" t="s">
        <v>73</v>
      </c>
    </row>
    <row r="76" spans="1:53" ht="26.25">
      <c r="A76" s="7" t="s">
        <v>55</v>
      </c>
      <c r="B76" s="23" t="s">
        <v>282</v>
      </c>
      <c r="C76" s="23" t="s">
        <v>281</v>
      </c>
      <c r="D76" s="28" t="s">
        <v>280</v>
      </c>
      <c r="E76" s="6" t="s">
        <v>15</v>
      </c>
      <c r="F76" s="6" t="s">
        <v>58</v>
      </c>
      <c r="G76" s="10">
        <v>42213</v>
      </c>
      <c r="H76" s="8">
        <v>0</v>
      </c>
      <c r="I76" s="8">
        <v>0</v>
      </c>
      <c r="J76" s="8">
        <v>0</v>
      </c>
      <c r="K76" s="8">
        <v>1.25</v>
      </c>
      <c r="L76" s="8">
        <f>1.25/365</f>
        <v>3.4246575342465752E-3</v>
      </c>
      <c r="M76" s="8">
        <v>0.16</v>
      </c>
      <c r="N76" s="8">
        <f t="shared" si="12"/>
        <v>3.4246575342465752E-3</v>
      </c>
      <c r="O76" s="8">
        <v>0</v>
      </c>
      <c r="P76" s="8">
        <v>0</v>
      </c>
      <c r="Q76" s="8">
        <v>0</v>
      </c>
      <c r="R76" s="8">
        <v>0</v>
      </c>
      <c r="S76" s="8">
        <v>0</v>
      </c>
      <c r="T76" s="8">
        <v>0</v>
      </c>
      <c r="U76" s="8">
        <f t="shared" si="13"/>
        <v>0</v>
      </c>
      <c r="V76" s="8">
        <v>0</v>
      </c>
      <c r="W76" s="8">
        <v>0</v>
      </c>
      <c r="X76" s="8">
        <v>0</v>
      </c>
      <c r="Y76" s="8">
        <v>1.25</v>
      </c>
      <c r="Z76" s="8">
        <f>1.25/365</f>
        <v>3.4246575342465752E-3</v>
      </c>
      <c r="AA76" s="8">
        <v>0.16</v>
      </c>
      <c r="AB76" s="8">
        <f t="shared" si="14"/>
        <v>3.4246575342465752E-3</v>
      </c>
      <c r="AC76" s="8">
        <v>0</v>
      </c>
      <c r="AD76" s="8">
        <v>0</v>
      </c>
      <c r="AE76" s="8">
        <v>0</v>
      </c>
      <c r="AF76" s="8">
        <v>0</v>
      </c>
      <c r="AG76" s="8">
        <v>0</v>
      </c>
      <c r="AH76" s="8">
        <v>0</v>
      </c>
      <c r="AI76" s="8">
        <f t="shared" si="15"/>
        <v>0</v>
      </c>
      <c r="AJ76" s="8">
        <v>0</v>
      </c>
      <c r="AK76" s="8">
        <v>0</v>
      </c>
      <c r="AL76" s="8">
        <v>0</v>
      </c>
      <c r="AM76" s="8">
        <v>0</v>
      </c>
      <c r="AN76" s="8">
        <v>0</v>
      </c>
      <c r="AO76" s="8">
        <v>0</v>
      </c>
      <c r="AP76" s="8">
        <f t="shared" si="16"/>
        <v>0</v>
      </c>
      <c r="AQ76" s="8">
        <v>0</v>
      </c>
      <c r="AR76" s="8">
        <v>0</v>
      </c>
      <c r="AS76" s="8">
        <v>0</v>
      </c>
      <c r="AT76" s="8">
        <v>0</v>
      </c>
      <c r="AU76" s="8">
        <v>0</v>
      </c>
      <c r="AV76" s="8">
        <v>0</v>
      </c>
      <c r="AW76" s="8">
        <f t="shared" si="17"/>
        <v>0</v>
      </c>
      <c r="AX76" s="29">
        <v>20</v>
      </c>
      <c r="AY76" s="29">
        <v>20</v>
      </c>
      <c r="AZ76" s="6"/>
      <c r="BA76" s="6" t="s">
        <v>73</v>
      </c>
    </row>
    <row r="77" spans="1:53">
      <c r="A77" s="7" t="s">
        <v>55</v>
      </c>
      <c r="B77" s="15" t="s">
        <v>221</v>
      </c>
      <c r="C77" s="24" t="s">
        <v>229</v>
      </c>
      <c r="D77" s="15" t="s">
        <v>224</v>
      </c>
      <c r="E77" s="6" t="s">
        <v>15</v>
      </c>
      <c r="F77" s="6" t="s">
        <v>85</v>
      </c>
      <c r="G77" s="10">
        <v>42213</v>
      </c>
      <c r="H77" s="8">
        <v>51</v>
      </c>
      <c r="I77" s="8">
        <v>0.13972602739726028</v>
      </c>
      <c r="J77" s="8">
        <v>6.78</v>
      </c>
      <c r="K77" s="8">
        <v>50.93</v>
      </c>
      <c r="L77" s="8">
        <f>50.93/365</f>
        <v>0.13953424657534247</v>
      </c>
      <c r="M77" s="8">
        <v>6.77</v>
      </c>
      <c r="N77" s="8">
        <f t="shared" si="12"/>
        <v>-1.9178082191781409E-4</v>
      </c>
      <c r="O77" s="8">
        <v>0</v>
      </c>
      <c r="P77" s="8">
        <v>0</v>
      </c>
      <c r="Q77" s="8">
        <v>0</v>
      </c>
      <c r="R77" s="8">
        <v>0</v>
      </c>
      <c r="S77" s="8">
        <v>0</v>
      </c>
      <c r="T77" s="8">
        <v>0</v>
      </c>
      <c r="U77" s="8">
        <f t="shared" si="13"/>
        <v>0</v>
      </c>
      <c r="V77" s="8">
        <v>51</v>
      </c>
      <c r="W77" s="8">
        <v>0.13972602739726028</v>
      </c>
      <c r="X77" s="8">
        <v>6.78</v>
      </c>
      <c r="Y77" s="8">
        <v>50.93</v>
      </c>
      <c r="Z77" s="8">
        <f>50.93/365</f>
        <v>0.13953424657534247</v>
      </c>
      <c r="AA77" s="8">
        <v>6.77</v>
      </c>
      <c r="AB77" s="8">
        <f t="shared" si="14"/>
        <v>-1.9178082191781409E-4</v>
      </c>
      <c r="AC77" s="8">
        <v>0</v>
      </c>
      <c r="AD77" s="8">
        <v>0</v>
      </c>
      <c r="AE77" s="8">
        <v>0</v>
      </c>
      <c r="AF77" s="8">
        <v>0</v>
      </c>
      <c r="AG77" s="8">
        <v>0</v>
      </c>
      <c r="AH77" s="8">
        <v>0</v>
      </c>
      <c r="AI77" s="8">
        <f t="shared" si="15"/>
        <v>0</v>
      </c>
      <c r="AJ77" s="8">
        <v>0</v>
      </c>
      <c r="AK77" s="8">
        <v>0</v>
      </c>
      <c r="AL77" s="8">
        <v>0</v>
      </c>
      <c r="AM77" s="8">
        <v>0</v>
      </c>
      <c r="AN77" s="8">
        <v>0</v>
      </c>
      <c r="AO77" s="8">
        <v>0</v>
      </c>
      <c r="AP77" s="8">
        <f t="shared" si="16"/>
        <v>0</v>
      </c>
      <c r="AQ77" s="8">
        <v>0</v>
      </c>
      <c r="AR77" s="8">
        <v>0</v>
      </c>
      <c r="AS77" s="8">
        <v>0</v>
      </c>
      <c r="AT77" s="8">
        <v>0</v>
      </c>
      <c r="AU77" s="8">
        <v>0</v>
      </c>
      <c r="AV77" s="8">
        <v>0</v>
      </c>
      <c r="AW77" s="8">
        <f t="shared" si="17"/>
        <v>0</v>
      </c>
      <c r="AX77" s="29">
        <v>20</v>
      </c>
      <c r="AY77" s="29">
        <v>20</v>
      </c>
      <c r="AZ77" s="6"/>
      <c r="BA77" s="6" t="s">
        <v>73</v>
      </c>
    </row>
    <row r="78" spans="1:53">
      <c r="A78" s="7" t="s">
        <v>55</v>
      </c>
      <c r="B78" s="23" t="s">
        <v>284</v>
      </c>
      <c r="C78" s="23" t="s">
        <v>283</v>
      </c>
      <c r="D78" s="28" t="s">
        <v>285</v>
      </c>
      <c r="E78" s="6" t="s">
        <v>15</v>
      </c>
      <c r="F78" s="6" t="s">
        <v>58</v>
      </c>
      <c r="G78" s="10">
        <v>42228</v>
      </c>
      <c r="H78" s="8">
        <v>0</v>
      </c>
      <c r="I78" s="8">
        <v>0</v>
      </c>
      <c r="J78" s="8">
        <v>0</v>
      </c>
      <c r="K78" s="8">
        <v>2.5</v>
      </c>
      <c r="L78" s="8">
        <f>2.5/365</f>
        <v>6.8493150684931503E-3</v>
      </c>
      <c r="M78" s="8">
        <v>0.33</v>
      </c>
      <c r="N78" s="8">
        <f t="shared" si="12"/>
        <v>6.8493150684931503E-3</v>
      </c>
      <c r="O78" s="8">
        <v>0</v>
      </c>
      <c r="P78" s="8">
        <v>0</v>
      </c>
      <c r="Q78" s="8">
        <v>0</v>
      </c>
      <c r="R78" s="8">
        <v>0</v>
      </c>
      <c r="S78" s="8">
        <v>0</v>
      </c>
      <c r="T78" s="8">
        <v>0</v>
      </c>
      <c r="U78" s="8">
        <f t="shared" si="13"/>
        <v>0</v>
      </c>
      <c r="V78" s="8">
        <v>0</v>
      </c>
      <c r="W78" s="8">
        <v>0</v>
      </c>
      <c r="X78" s="8">
        <v>0</v>
      </c>
      <c r="Y78" s="8">
        <v>2.5</v>
      </c>
      <c r="Z78" s="8">
        <f>2.5/365</f>
        <v>6.8493150684931503E-3</v>
      </c>
      <c r="AA78" s="8">
        <v>0.33</v>
      </c>
      <c r="AB78" s="8">
        <f t="shared" si="14"/>
        <v>6.8493150684931503E-3</v>
      </c>
      <c r="AC78" s="8">
        <v>0</v>
      </c>
      <c r="AD78" s="8">
        <v>0</v>
      </c>
      <c r="AE78" s="8">
        <v>0</v>
      </c>
      <c r="AF78" s="8">
        <v>0</v>
      </c>
      <c r="AG78" s="8">
        <v>0</v>
      </c>
      <c r="AH78" s="8">
        <v>0</v>
      </c>
      <c r="AI78" s="8">
        <f t="shared" si="15"/>
        <v>0</v>
      </c>
      <c r="AJ78" s="8">
        <v>0</v>
      </c>
      <c r="AK78" s="8">
        <v>0</v>
      </c>
      <c r="AL78" s="8">
        <v>0</v>
      </c>
      <c r="AM78" s="8">
        <v>0</v>
      </c>
      <c r="AN78" s="8">
        <v>0</v>
      </c>
      <c r="AO78" s="8">
        <v>0</v>
      </c>
      <c r="AP78" s="8">
        <f t="shared" si="16"/>
        <v>0</v>
      </c>
      <c r="AQ78" s="8">
        <v>0</v>
      </c>
      <c r="AR78" s="8">
        <v>0</v>
      </c>
      <c r="AS78" s="8">
        <v>0</v>
      </c>
      <c r="AT78" s="8">
        <v>0</v>
      </c>
      <c r="AU78" s="8">
        <v>0</v>
      </c>
      <c r="AV78" s="8">
        <v>0</v>
      </c>
      <c r="AW78" s="8">
        <f t="shared" si="17"/>
        <v>0</v>
      </c>
      <c r="AX78" s="29">
        <v>20</v>
      </c>
      <c r="AY78" s="29">
        <v>20</v>
      </c>
      <c r="AZ78" s="6"/>
      <c r="BA78" s="6" t="s">
        <v>73</v>
      </c>
    </row>
    <row r="79" spans="1:53">
      <c r="A79" s="7" t="s">
        <v>55</v>
      </c>
      <c r="B79" s="15" t="s">
        <v>246</v>
      </c>
      <c r="C79" s="24" t="s">
        <v>252</v>
      </c>
      <c r="D79" s="15" t="s">
        <v>248</v>
      </c>
      <c r="E79" s="6" t="s">
        <v>15</v>
      </c>
      <c r="F79" s="6" t="s">
        <v>56</v>
      </c>
      <c r="G79" s="10">
        <v>42272</v>
      </c>
      <c r="H79" s="8">
        <v>31.7</v>
      </c>
      <c r="I79" s="8">
        <f>31.7/365</f>
        <v>8.6849315068493152E-2</v>
      </c>
      <c r="J79" s="8">
        <v>5.43</v>
      </c>
      <c r="K79" s="8">
        <v>31.93</v>
      </c>
      <c r="L79" s="8">
        <f>31.93/365</f>
        <v>8.7479452054794515E-2</v>
      </c>
      <c r="M79" s="8">
        <v>5.46</v>
      </c>
      <c r="N79" s="8">
        <f t="shared" si="12"/>
        <v>6.3013698630136339E-4</v>
      </c>
      <c r="O79" s="8">
        <v>31.7</v>
      </c>
      <c r="P79" s="8">
        <f>31.7/365</f>
        <v>8.6849315068493152E-2</v>
      </c>
      <c r="Q79" s="8">
        <v>5.43</v>
      </c>
      <c r="R79" s="8">
        <v>31.93</v>
      </c>
      <c r="S79" s="8">
        <f>31.93/365</f>
        <v>8.7479452054794515E-2</v>
      </c>
      <c r="T79" s="8">
        <v>5.46</v>
      </c>
      <c r="U79" s="8">
        <f t="shared" si="13"/>
        <v>6.3013698630136339E-4</v>
      </c>
      <c r="V79" s="8">
        <v>0</v>
      </c>
      <c r="W79" s="8">
        <v>0</v>
      </c>
      <c r="X79" s="8">
        <v>0</v>
      </c>
      <c r="Y79" s="8">
        <v>0.15</v>
      </c>
      <c r="Z79" s="8">
        <v>1E-3</v>
      </c>
      <c r="AA79" s="8">
        <v>0.01</v>
      </c>
      <c r="AB79" s="8">
        <f t="shared" si="14"/>
        <v>1E-3</v>
      </c>
      <c r="AC79" s="8">
        <v>0</v>
      </c>
      <c r="AD79" s="8">
        <v>0</v>
      </c>
      <c r="AE79" s="8">
        <v>0</v>
      </c>
      <c r="AF79" s="8">
        <v>0</v>
      </c>
      <c r="AG79" s="8">
        <v>0</v>
      </c>
      <c r="AH79" s="8">
        <v>0</v>
      </c>
      <c r="AI79" s="8">
        <f t="shared" si="15"/>
        <v>0</v>
      </c>
      <c r="AJ79" s="8">
        <v>0</v>
      </c>
      <c r="AK79" s="8">
        <v>0</v>
      </c>
      <c r="AL79" s="8">
        <v>0</v>
      </c>
      <c r="AM79" s="8">
        <v>0</v>
      </c>
      <c r="AN79" s="8">
        <v>0</v>
      </c>
      <c r="AO79" s="8">
        <v>0</v>
      </c>
      <c r="AP79" s="8">
        <f t="shared" si="16"/>
        <v>0</v>
      </c>
      <c r="AQ79" s="8">
        <v>0</v>
      </c>
      <c r="AR79" s="8">
        <v>0</v>
      </c>
      <c r="AS79" s="8">
        <v>0</v>
      </c>
      <c r="AT79" s="8">
        <v>0</v>
      </c>
      <c r="AU79" s="8">
        <v>0</v>
      </c>
      <c r="AV79" s="8">
        <v>0</v>
      </c>
      <c r="AW79" s="8">
        <f t="shared" si="17"/>
        <v>0</v>
      </c>
      <c r="AX79" s="29">
        <v>20</v>
      </c>
      <c r="AY79" s="29">
        <v>20</v>
      </c>
      <c r="AZ79" s="6"/>
      <c r="BA79" s="6" t="s">
        <v>73</v>
      </c>
    </row>
    <row r="80" spans="1:53">
      <c r="A80" s="7" t="s">
        <v>55</v>
      </c>
      <c r="B80" s="23" t="s">
        <v>348</v>
      </c>
      <c r="C80" s="23" t="s">
        <v>354</v>
      </c>
      <c r="D80" s="28" t="s">
        <v>342</v>
      </c>
      <c r="E80" s="6" t="s">
        <v>15</v>
      </c>
      <c r="F80" s="6" t="s">
        <v>58</v>
      </c>
      <c r="G80" s="10">
        <v>42284</v>
      </c>
      <c r="H80" s="8">
        <v>0</v>
      </c>
      <c r="I80" s="8">
        <v>0</v>
      </c>
      <c r="J80" s="8">
        <v>0</v>
      </c>
      <c r="K80" s="8">
        <v>2.2200000000000002</v>
      </c>
      <c r="L80" s="8">
        <f>2.22/365</f>
        <v>6.0821917808219182E-3</v>
      </c>
      <c r="M80" s="8">
        <v>0.28999999999999998</v>
      </c>
      <c r="N80" s="8">
        <f t="shared" si="12"/>
        <v>6.0821917808219182E-3</v>
      </c>
      <c r="O80" s="8">
        <v>0</v>
      </c>
      <c r="P80" s="8">
        <v>0</v>
      </c>
      <c r="Q80" s="8">
        <v>0</v>
      </c>
      <c r="R80" s="8">
        <v>0</v>
      </c>
      <c r="S80" s="8">
        <v>0</v>
      </c>
      <c r="T80" s="8">
        <v>0</v>
      </c>
      <c r="U80" s="8">
        <f t="shared" si="13"/>
        <v>0</v>
      </c>
      <c r="V80" s="8">
        <v>0</v>
      </c>
      <c r="W80" s="8">
        <v>0</v>
      </c>
      <c r="X80" s="8">
        <v>0</v>
      </c>
      <c r="Y80" s="8">
        <v>2.2200000000000002</v>
      </c>
      <c r="Z80" s="8">
        <f>2.22/365</f>
        <v>6.0821917808219182E-3</v>
      </c>
      <c r="AA80" s="8">
        <v>0.28999999999999998</v>
      </c>
      <c r="AB80" s="8">
        <f t="shared" si="14"/>
        <v>6.0821917808219182E-3</v>
      </c>
      <c r="AC80" s="8">
        <v>0</v>
      </c>
      <c r="AD80" s="8">
        <v>0</v>
      </c>
      <c r="AE80" s="8">
        <v>0</v>
      </c>
      <c r="AF80" s="8">
        <v>0</v>
      </c>
      <c r="AG80" s="8">
        <v>0</v>
      </c>
      <c r="AH80" s="8">
        <v>0</v>
      </c>
      <c r="AI80" s="8">
        <f t="shared" si="15"/>
        <v>0</v>
      </c>
      <c r="AJ80" s="8">
        <v>0</v>
      </c>
      <c r="AK80" s="8">
        <v>0</v>
      </c>
      <c r="AL80" s="8">
        <v>0</v>
      </c>
      <c r="AM80" s="8">
        <v>0</v>
      </c>
      <c r="AN80" s="8">
        <v>0</v>
      </c>
      <c r="AO80" s="8">
        <v>0</v>
      </c>
      <c r="AP80" s="8">
        <f t="shared" si="16"/>
        <v>0</v>
      </c>
      <c r="AQ80" s="8">
        <v>0</v>
      </c>
      <c r="AR80" s="8">
        <v>0</v>
      </c>
      <c r="AS80" s="8">
        <v>0</v>
      </c>
      <c r="AT80" s="8">
        <v>0</v>
      </c>
      <c r="AU80" s="8">
        <v>0</v>
      </c>
      <c r="AV80" s="8">
        <v>0</v>
      </c>
      <c r="AW80" s="8">
        <f t="shared" si="17"/>
        <v>0</v>
      </c>
      <c r="AX80" s="29">
        <v>20</v>
      </c>
      <c r="AY80" s="29">
        <v>20</v>
      </c>
      <c r="AZ80" s="6"/>
      <c r="BA80" s="6" t="s">
        <v>73</v>
      </c>
    </row>
    <row r="81" spans="1:53">
      <c r="A81" s="7" t="s">
        <v>55</v>
      </c>
      <c r="B81" s="21" t="s">
        <v>306</v>
      </c>
      <c r="C81" s="21" t="s">
        <v>303</v>
      </c>
      <c r="D81" s="21" t="s">
        <v>302</v>
      </c>
      <c r="E81" s="6" t="s">
        <v>15</v>
      </c>
      <c r="F81" s="6" t="s">
        <v>58</v>
      </c>
      <c r="G81" s="27">
        <v>42286</v>
      </c>
      <c r="H81" s="8">
        <v>10.63</v>
      </c>
      <c r="I81" s="8">
        <f>10.63/365</f>
        <v>2.9123287671232879E-2</v>
      </c>
      <c r="J81" s="8">
        <v>1.41</v>
      </c>
      <c r="K81" s="8">
        <v>10.63</v>
      </c>
      <c r="L81" s="8">
        <f>10.63/365</f>
        <v>2.9123287671232879E-2</v>
      </c>
      <c r="M81" s="8">
        <v>1.41</v>
      </c>
      <c r="N81" s="8">
        <f t="shared" si="12"/>
        <v>0</v>
      </c>
      <c r="O81" s="8">
        <v>0</v>
      </c>
      <c r="P81" s="8">
        <v>0</v>
      </c>
      <c r="Q81" s="8">
        <v>0</v>
      </c>
      <c r="R81" s="8">
        <v>0</v>
      </c>
      <c r="S81" s="8">
        <v>0</v>
      </c>
      <c r="T81" s="8">
        <v>0</v>
      </c>
      <c r="U81" s="8">
        <f t="shared" si="13"/>
        <v>0</v>
      </c>
      <c r="V81" s="8">
        <v>10.63</v>
      </c>
      <c r="W81" s="8">
        <f>10.63/365</f>
        <v>2.9123287671232879E-2</v>
      </c>
      <c r="X81" s="8">
        <v>1.41</v>
      </c>
      <c r="Y81" s="8">
        <v>10.63</v>
      </c>
      <c r="Z81" s="8">
        <f>10.63/365</f>
        <v>2.9123287671232879E-2</v>
      </c>
      <c r="AA81" s="8">
        <v>1.41</v>
      </c>
      <c r="AB81" s="8">
        <f t="shared" si="14"/>
        <v>0</v>
      </c>
      <c r="AC81" s="8">
        <v>0</v>
      </c>
      <c r="AD81" s="8">
        <v>0</v>
      </c>
      <c r="AE81" s="8">
        <v>0</v>
      </c>
      <c r="AF81" s="8">
        <v>0</v>
      </c>
      <c r="AG81" s="8">
        <v>0</v>
      </c>
      <c r="AH81" s="8">
        <v>0</v>
      </c>
      <c r="AI81" s="8">
        <f t="shared" si="15"/>
        <v>0</v>
      </c>
      <c r="AJ81" s="8">
        <v>0</v>
      </c>
      <c r="AK81" s="8">
        <v>0</v>
      </c>
      <c r="AL81" s="8">
        <v>0</v>
      </c>
      <c r="AM81" s="8">
        <v>0</v>
      </c>
      <c r="AN81" s="8">
        <v>0</v>
      </c>
      <c r="AO81" s="8">
        <v>0</v>
      </c>
      <c r="AP81" s="8">
        <f t="shared" si="16"/>
        <v>0</v>
      </c>
      <c r="AQ81" s="8">
        <v>0</v>
      </c>
      <c r="AR81" s="8">
        <v>0</v>
      </c>
      <c r="AS81" s="8">
        <v>0</v>
      </c>
      <c r="AT81" s="8">
        <v>0</v>
      </c>
      <c r="AU81" s="8">
        <v>0</v>
      </c>
      <c r="AV81" s="8">
        <v>0</v>
      </c>
      <c r="AW81" s="8">
        <f t="shared" si="17"/>
        <v>0</v>
      </c>
      <c r="AX81" s="29">
        <v>20</v>
      </c>
      <c r="AY81" s="29">
        <v>20</v>
      </c>
      <c r="AZ81" s="6"/>
      <c r="BA81" s="6" t="s">
        <v>73</v>
      </c>
    </row>
    <row r="82" spans="1:53">
      <c r="A82" s="7" t="s">
        <v>55</v>
      </c>
      <c r="B82" s="15" t="s">
        <v>222</v>
      </c>
      <c r="C82" s="24" t="s">
        <v>228</v>
      </c>
      <c r="D82" s="15" t="s">
        <v>225</v>
      </c>
      <c r="E82" s="6" t="s">
        <v>15</v>
      </c>
      <c r="F82" s="6" t="s">
        <v>57</v>
      </c>
      <c r="G82" s="10">
        <v>42296</v>
      </c>
      <c r="H82" s="8">
        <v>23.5</v>
      </c>
      <c r="I82" s="8">
        <v>6.4000000000000001E-2</v>
      </c>
      <c r="J82" s="8">
        <v>17.829999999999998</v>
      </c>
      <c r="K82" s="8">
        <v>23.5</v>
      </c>
      <c r="L82" s="8">
        <f>23.5/365</f>
        <v>6.4383561643835616E-2</v>
      </c>
      <c r="M82" s="8">
        <v>17.829999999999998</v>
      </c>
      <c r="N82" s="8">
        <f t="shared" si="12"/>
        <v>3.8356164383561431E-4</v>
      </c>
      <c r="O82" s="8">
        <v>0</v>
      </c>
      <c r="P82" s="8">
        <v>0</v>
      </c>
      <c r="Q82" s="8">
        <v>0</v>
      </c>
      <c r="R82" s="8">
        <v>0</v>
      </c>
      <c r="S82" s="8">
        <v>0</v>
      </c>
      <c r="T82" s="8">
        <v>0</v>
      </c>
      <c r="U82" s="8">
        <f t="shared" si="13"/>
        <v>0</v>
      </c>
      <c r="V82" s="8">
        <v>23.5</v>
      </c>
      <c r="W82" s="8">
        <v>6.4000000000000001E-2</v>
      </c>
      <c r="X82" s="8">
        <v>17.829999999999998</v>
      </c>
      <c r="Y82" s="8">
        <v>23.5</v>
      </c>
      <c r="Z82" s="8">
        <f>23.5/365</f>
        <v>6.4383561643835616E-2</v>
      </c>
      <c r="AA82" s="8">
        <v>17.829999999999998</v>
      </c>
      <c r="AB82" s="8">
        <f t="shared" si="14"/>
        <v>3.8356164383561431E-4</v>
      </c>
      <c r="AC82" s="8">
        <v>0</v>
      </c>
      <c r="AD82" s="8">
        <v>0</v>
      </c>
      <c r="AE82" s="8">
        <v>0</v>
      </c>
      <c r="AF82" s="8">
        <v>0</v>
      </c>
      <c r="AG82" s="8">
        <v>0</v>
      </c>
      <c r="AH82" s="8">
        <v>0</v>
      </c>
      <c r="AI82" s="8">
        <f t="shared" si="15"/>
        <v>0</v>
      </c>
      <c r="AJ82" s="8">
        <v>0</v>
      </c>
      <c r="AK82" s="8">
        <v>0</v>
      </c>
      <c r="AL82" s="8">
        <v>0</v>
      </c>
      <c r="AM82" s="8">
        <v>0</v>
      </c>
      <c r="AN82" s="8">
        <v>0</v>
      </c>
      <c r="AO82" s="8">
        <v>0</v>
      </c>
      <c r="AP82" s="8">
        <f t="shared" si="16"/>
        <v>0</v>
      </c>
      <c r="AQ82" s="8">
        <v>0</v>
      </c>
      <c r="AR82" s="8">
        <v>0</v>
      </c>
      <c r="AS82" s="8">
        <v>0</v>
      </c>
      <c r="AT82" s="8">
        <v>0</v>
      </c>
      <c r="AU82" s="8">
        <v>0</v>
      </c>
      <c r="AV82" s="8">
        <v>0</v>
      </c>
      <c r="AW82" s="8">
        <f t="shared" si="17"/>
        <v>0</v>
      </c>
      <c r="AX82" s="29">
        <v>20</v>
      </c>
      <c r="AY82" s="29">
        <v>20</v>
      </c>
      <c r="AZ82" s="6"/>
      <c r="BA82" s="6" t="s">
        <v>73</v>
      </c>
    </row>
    <row r="83" spans="1:53">
      <c r="A83" s="7" t="s">
        <v>55</v>
      </c>
      <c r="B83" s="15" t="s">
        <v>239</v>
      </c>
      <c r="C83" s="24" t="s">
        <v>254</v>
      </c>
      <c r="D83" s="15" t="s">
        <v>242</v>
      </c>
      <c r="E83" s="6" t="s">
        <v>244</v>
      </c>
      <c r="F83" s="6" t="s">
        <v>59</v>
      </c>
      <c r="G83" s="10">
        <v>42296</v>
      </c>
      <c r="H83" s="8">
        <f>154.35/2</f>
        <v>77.174999999999997</v>
      </c>
      <c r="I83" s="8">
        <f>77.175/365</f>
        <v>0.21143835616438356</v>
      </c>
      <c r="J83" s="8">
        <f>27.59/2</f>
        <v>13.795</v>
      </c>
      <c r="K83" s="8">
        <f>154.35/2</f>
        <v>77.174999999999997</v>
      </c>
      <c r="L83" s="8">
        <f>77.175/365</f>
        <v>0.21143835616438356</v>
      </c>
      <c r="M83" s="8">
        <f>27.59/2</f>
        <v>13.795</v>
      </c>
      <c r="N83" s="8">
        <f t="shared" si="12"/>
        <v>0</v>
      </c>
      <c r="O83" s="8">
        <v>0</v>
      </c>
      <c r="P83" s="8">
        <v>0</v>
      </c>
      <c r="Q83" s="8">
        <v>0</v>
      </c>
      <c r="R83" s="8">
        <v>0</v>
      </c>
      <c r="S83" s="8">
        <v>0</v>
      </c>
      <c r="T83" s="8">
        <v>0</v>
      </c>
      <c r="U83" s="8">
        <f t="shared" si="13"/>
        <v>0</v>
      </c>
      <c r="V83" s="8">
        <f>154.35/2</f>
        <v>77.174999999999997</v>
      </c>
      <c r="W83" s="8">
        <f>77.175/365</f>
        <v>0.21143835616438356</v>
      </c>
      <c r="X83" s="8">
        <f>27.59/2</f>
        <v>13.795</v>
      </c>
      <c r="Y83" s="8">
        <f>154.35/2</f>
        <v>77.174999999999997</v>
      </c>
      <c r="Z83" s="8">
        <f>77.175/365</f>
        <v>0.21143835616438356</v>
      </c>
      <c r="AA83" s="8">
        <f>27.59/2</f>
        <v>13.795</v>
      </c>
      <c r="AB83" s="8">
        <f t="shared" si="14"/>
        <v>0</v>
      </c>
      <c r="AC83" s="8">
        <v>0</v>
      </c>
      <c r="AD83" s="8">
        <v>0</v>
      </c>
      <c r="AE83" s="8">
        <v>0</v>
      </c>
      <c r="AF83" s="8">
        <v>0</v>
      </c>
      <c r="AG83" s="8">
        <v>0</v>
      </c>
      <c r="AH83" s="8">
        <v>0</v>
      </c>
      <c r="AI83" s="8">
        <f t="shared" si="15"/>
        <v>0</v>
      </c>
      <c r="AJ83" s="8">
        <v>0</v>
      </c>
      <c r="AK83" s="8">
        <v>0</v>
      </c>
      <c r="AL83" s="8">
        <v>0</v>
      </c>
      <c r="AM83" s="8">
        <v>0</v>
      </c>
      <c r="AN83" s="8">
        <v>0</v>
      </c>
      <c r="AO83" s="8">
        <v>0</v>
      </c>
      <c r="AP83" s="8">
        <f t="shared" si="16"/>
        <v>0</v>
      </c>
      <c r="AQ83" s="8">
        <f>154.35/2</f>
        <v>77.174999999999997</v>
      </c>
      <c r="AR83" s="8">
        <f>77.175/365</f>
        <v>0.21143835616438356</v>
      </c>
      <c r="AS83" s="8">
        <f>27.59/2</f>
        <v>13.795</v>
      </c>
      <c r="AT83" s="8">
        <f>154.35/2</f>
        <v>77.174999999999997</v>
      </c>
      <c r="AU83" s="8">
        <f>77.175/365</f>
        <v>0.21143835616438356</v>
      </c>
      <c r="AV83" s="8">
        <f>27.59/2</f>
        <v>13.795</v>
      </c>
      <c r="AW83" s="8">
        <f t="shared" si="17"/>
        <v>0</v>
      </c>
      <c r="AX83" s="29">
        <v>20</v>
      </c>
      <c r="AY83" s="29">
        <v>20</v>
      </c>
      <c r="AZ83" s="6" t="s">
        <v>255</v>
      </c>
      <c r="BA83" s="6" t="s">
        <v>73</v>
      </c>
    </row>
    <row r="84" spans="1:53">
      <c r="A84" s="7" t="s">
        <v>55</v>
      </c>
      <c r="B84" s="23" t="s">
        <v>349</v>
      </c>
      <c r="C84" s="23" t="s">
        <v>355</v>
      </c>
      <c r="D84" s="28" t="s">
        <v>343</v>
      </c>
      <c r="E84" s="6" t="s">
        <v>15</v>
      </c>
      <c r="F84" s="6" t="s">
        <v>58</v>
      </c>
      <c r="G84" s="10">
        <v>42299</v>
      </c>
      <c r="H84" s="8">
        <v>0</v>
      </c>
      <c r="I84" s="8">
        <v>0</v>
      </c>
      <c r="J84" s="8">
        <v>0</v>
      </c>
      <c r="K84" s="8">
        <v>20</v>
      </c>
      <c r="L84" s="8">
        <v>5.4794520547945202E-2</v>
      </c>
      <c r="M84" s="8">
        <v>2.65</v>
      </c>
      <c r="N84" s="8">
        <f t="shared" si="12"/>
        <v>5.4794520547945202E-2</v>
      </c>
      <c r="O84" s="8">
        <v>0</v>
      </c>
      <c r="P84" s="8">
        <v>0</v>
      </c>
      <c r="Q84" s="8">
        <v>0</v>
      </c>
      <c r="R84" s="8">
        <v>0</v>
      </c>
      <c r="S84" s="8">
        <v>0</v>
      </c>
      <c r="T84" s="8">
        <v>0</v>
      </c>
      <c r="U84" s="8">
        <f t="shared" si="13"/>
        <v>0</v>
      </c>
      <c r="V84" s="8">
        <v>0</v>
      </c>
      <c r="W84" s="8">
        <v>0</v>
      </c>
      <c r="X84" s="8">
        <v>0</v>
      </c>
      <c r="Y84" s="8">
        <v>20</v>
      </c>
      <c r="Z84" s="8">
        <v>5.4794520547945202E-2</v>
      </c>
      <c r="AA84" s="8">
        <v>2.65</v>
      </c>
      <c r="AB84" s="8">
        <f t="shared" si="14"/>
        <v>5.4794520547945202E-2</v>
      </c>
      <c r="AC84" s="8">
        <v>0</v>
      </c>
      <c r="AD84" s="8">
        <v>0</v>
      </c>
      <c r="AE84" s="8">
        <v>0</v>
      </c>
      <c r="AF84" s="8">
        <v>0</v>
      </c>
      <c r="AG84" s="8">
        <v>0</v>
      </c>
      <c r="AH84" s="8">
        <v>0</v>
      </c>
      <c r="AI84" s="8">
        <f t="shared" si="15"/>
        <v>0</v>
      </c>
      <c r="AJ84" s="8">
        <v>0</v>
      </c>
      <c r="AK84" s="8">
        <v>0</v>
      </c>
      <c r="AL84" s="8">
        <v>0</v>
      </c>
      <c r="AM84" s="8">
        <v>0</v>
      </c>
      <c r="AN84" s="8">
        <v>0</v>
      </c>
      <c r="AO84" s="8">
        <v>0</v>
      </c>
      <c r="AP84" s="8">
        <f t="shared" si="16"/>
        <v>0</v>
      </c>
      <c r="AQ84" s="8">
        <v>0</v>
      </c>
      <c r="AR84" s="8">
        <v>0</v>
      </c>
      <c r="AS84" s="8">
        <v>0</v>
      </c>
      <c r="AT84" s="8">
        <v>0</v>
      </c>
      <c r="AU84" s="8">
        <v>0</v>
      </c>
      <c r="AV84" s="8">
        <v>0</v>
      </c>
      <c r="AW84" s="8">
        <f t="shared" si="17"/>
        <v>0</v>
      </c>
      <c r="AX84" s="29">
        <v>20</v>
      </c>
      <c r="AY84" s="29">
        <v>20</v>
      </c>
      <c r="AZ84" s="6"/>
      <c r="BA84" s="6" t="s">
        <v>73</v>
      </c>
    </row>
    <row r="85" spans="1:53">
      <c r="A85" s="7" t="s">
        <v>55</v>
      </c>
      <c r="B85" s="23" t="s">
        <v>350</v>
      </c>
      <c r="C85" s="23" t="s">
        <v>356</v>
      </c>
      <c r="D85" s="28" t="s">
        <v>344</v>
      </c>
      <c r="E85" s="6" t="s">
        <v>15</v>
      </c>
      <c r="F85" s="6" t="s">
        <v>58</v>
      </c>
      <c r="G85" s="10">
        <v>42306</v>
      </c>
      <c r="H85" s="8">
        <v>0</v>
      </c>
      <c r="I85" s="8">
        <v>0</v>
      </c>
      <c r="J85" s="8">
        <v>0</v>
      </c>
      <c r="K85" s="8">
        <v>0.56000000000000005</v>
      </c>
      <c r="L85" s="8">
        <f>0.56/365</f>
        <v>1.5342465753424659E-3</v>
      </c>
      <c r="M85" s="8">
        <v>7.0000000000000007E-2</v>
      </c>
      <c r="N85" s="8">
        <f t="shared" si="12"/>
        <v>1.5342465753424659E-3</v>
      </c>
      <c r="O85" s="8">
        <v>0</v>
      </c>
      <c r="P85" s="8">
        <v>0</v>
      </c>
      <c r="Q85" s="8">
        <v>0</v>
      </c>
      <c r="R85" s="8">
        <v>0</v>
      </c>
      <c r="S85" s="8">
        <v>0</v>
      </c>
      <c r="T85" s="8">
        <v>0</v>
      </c>
      <c r="U85" s="8">
        <f t="shared" si="13"/>
        <v>0</v>
      </c>
      <c r="V85" s="8">
        <v>0</v>
      </c>
      <c r="W85" s="8">
        <v>0</v>
      </c>
      <c r="X85" s="8">
        <v>0</v>
      </c>
      <c r="Y85" s="8">
        <v>0.56000000000000005</v>
      </c>
      <c r="Z85" s="8">
        <f>0.56/365</f>
        <v>1.5342465753424659E-3</v>
      </c>
      <c r="AA85" s="8">
        <v>7.0000000000000007E-2</v>
      </c>
      <c r="AB85" s="8">
        <f t="shared" si="14"/>
        <v>1.5342465753424659E-3</v>
      </c>
      <c r="AC85" s="8">
        <v>0</v>
      </c>
      <c r="AD85" s="8">
        <v>0</v>
      </c>
      <c r="AE85" s="8">
        <v>0</v>
      </c>
      <c r="AF85" s="8">
        <v>0</v>
      </c>
      <c r="AG85" s="8">
        <v>0</v>
      </c>
      <c r="AH85" s="8">
        <v>0</v>
      </c>
      <c r="AI85" s="8">
        <f t="shared" si="15"/>
        <v>0</v>
      </c>
      <c r="AJ85" s="8">
        <v>0</v>
      </c>
      <c r="AK85" s="8">
        <v>0</v>
      </c>
      <c r="AL85" s="8">
        <v>0</v>
      </c>
      <c r="AM85" s="8">
        <v>0</v>
      </c>
      <c r="AN85" s="8">
        <v>0</v>
      </c>
      <c r="AO85" s="8">
        <v>0</v>
      </c>
      <c r="AP85" s="8">
        <f t="shared" si="16"/>
        <v>0</v>
      </c>
      <c r="AQ85" s="8">
        <v>0</v>
      </c>
      <c r="AR85" s="8">
        <v>0</v>
      </c>
      <c r="AS85" s="8">
        <v>0</v>
      </c>
      <c r="AT85" s="8">
        <v>0</v>
      </c>
      <c r="AU85" s="8">
        <v>0</v>
      </c>
      <c r="AV85" s="8">
        <v>0</v>
      </c>
      <c r="AW85" s="8">
        <f t="shared" si="17"/>
        <v>0</v>
      </c>
      <c r="AX85" s="29">
        <v>20</v>
      </c>
      <c r="AY85" s="29">
        <v>20</v>
      </c>
      <c r="AZ85" s="6"/>
      <c r="BA85" s="6" t="s">
        <v>73</v>
      </c>
    </row>
    <row r="86" spans="1:53">
      <c r="A86" s="7" t="s">
        <v>55</v>
      </c>
      <c r="B86" s="15" t="s">
        <v>238</v>
      </c>
      <c r="C86" s="24" t="s">
        <v>256</v>
      </c>
      <c r="D86" s="15" t="s">
        <v>241</v>
      </c>
      <c r="E86" s="6" t="s">
        <v>15</v>
      </c>
      <c r="F86" s="6" t="s">
        <v>59</v>
      </c>
      <c r="G86" s="10">
        <v>42306</v>
      </c>
      <c r="H86" s="8">
        <v>68.989999999999995</v>
      </c>
      <c r="I86" s="8">
        <f>68.99/365</f>
        <v>0.18901369863013698</v>
      </c>
      <c r="J86" s="8">
        <v>25.39</v>
      </c>
      <c r="K86" s="8">
        <v>7.33</v>
      </c>
      <c r="L86" s="8">
        <f>7.33/365</f>
        <v>2.0082191780821917E-2</v>
      </c>
      <c r="M86" s="8">
        <v>7.33</v>
      </c>
      <c r="N86" s="8">
        <f t="shared" si="12"/>
        <v>-0.16893150684931507</v>
      </c>
      <c r="O86" s="8">
        <v>0</v>
      </c>
      <c r="P86" s="8">
        <v>0</v>
      </c>
      <c r="Q86" s="8">
        <v>0</v>
      </c>
      <c r="R86" s="8">
        <v>0</v>
      </c>
      <c r="S86" s="8">
        <v>0</v>
      </c>
      <c r="T86" s="8">
        <v>0</v>
      </c>
      <c r="U86" s="8">
        <f t="shared" si="13"/>
        <v>0</v>
      </c>
      <c r="V86" s="8">
        <v>68.989999999999995</v>
      </c>
      <c r="W86" s="8">
        <f>68.99/365</f>
        <v>0.18901369863013698</v>
      </c>
      <c r="X86" s="8">
        <v>25.39</v>
      </c>
      <c r="Y86" s="8">
        <v>7.33</v>
      </c>
      <c r="Z86" s="8">
        <f>7.33/365</f>
        <v>2.0082191780821917E-2</v>
      </c>
      <c r="AA86" s="8">
        <v>7.33</v>
      </c>
      <c r="AB86" s="8">
        <f t="shared" si="14"/>
        <v>-0.16893150684931507</v>
      </c>
      <c r="AC86" s="8">
        <v>0</v>
      </c>
      <c r="AD86" s="8">
        <v>0</v>
      </c>
      <c r="AE86" s="8">
        <v>0</v>
      </c>
      <c r="AF86" s="8">
        <v>0</v>
      </c>
      <c r="AG86" s="8">
        <v>0</v>
      </c>
      <c r="AH86" s="8">
        <v>0</v>
      </c>
      <c r="AI86" s="8">
        <f t="shared" si="15"/>
        <v>0</v>
      </c>
      <c r="AJ86" s="8">
        <v>0</v>
      </c>
      <c r="AK86" s="8">
        <v>0</v>
      </c>
      <c r="AL86" s="8">
        <v>0</v>
      </c>
      <c r="AM86" s="8">
        <v>0</v>
      </c>
      <c r="AN86" s="8">
        <v>0</v>
      </c>
      <c r="AO86" s="8">
        <v>0</v>
      </c>
      <c r="AP86" s="8">
        <f t="shared" si="16"/>
        <v>0</v>
      </c>
      <c r="AQ86" s="8">
        <v>0</v>
      </c>
      <c r="AR86" s="8">
        <v>0</v>
      </c>
      <c r="AS86" s="8">
        <v>0</v>
      </c>
      <c r="AT86" s="8">
        <v>0</v>
      </c>
      <c r="AU86" s="8">
        <v>0</v>
      </c>
      <c r="AV86" s="8">
        <v>0</v>
      </c>
      <c r="AW86" s="8">
        <f t="shared" si="17"/>
        <v>0</v>
      </c>
      <c r="AX86" s="29">
        <v>20</v>
      </c>
      <c r="AY86" s="29">
        <v>20</v>
      </c>
      <c r="AZ86" s="6" t="s">
        <v>183</v>
      </c>
      <c r="BA86" s="6" t="s">
        <v>73</v>
      </c>
    </row>
    <row r="87" spans="1:53">
      <c r="A87" s="7" t="s">
        <v>55</v>
      </c>
      <c r="B87" s="15" t="s">
        <v>236</v>
      </c>
      <c r="C87" s="24" t="s">
        <v>258</v>
      </c>
      <c r="D87" s="15" t="s">
        <v>240</v>
      </c>
      <c r="E87" s="6" t="s">
        <v>244</v>
      </c>
      <c r="F87" s="6" t="s">
        <v>59</v>
      </c>
      <c r="G87" s="10">
        <v>42331</v>
      </c>
      <c r="H87" s="8">
        <f>1242.68+2509.64</f>
        <v>3752.3199999999997</v>
      </c>
      <c r="I87" s="8">
        <f>3752.32/365</f>
        <v>10.280328767123288</v>
      </c>
      <c r="J87" s="8">
        <f>203.55+332.43</f>
        <v>535.98</v>
      </c>
      <c r="K87" s="8">
        <f>1242.68+2509.64</f>
        <v>3752.3199999999997</v>
      </c>
      <c r="L87" s="8">
        <f>3752.32/365</f>
        <v>10.280328767123288</v>
      </c>
      <c r="M87" s="8">
        <f>203.55+332.43</f>
        <v>535.98</v>
      </c>
      <c r="N87" s="8">
        <f t="shared" si="12"/>
        <v>0</v>
      </c>
      <c r="O87" s="8">
        <v>0</v>
      </c>
      <c r="P87" s="8">
        <v>0</v>
      </c>
      <c r="Q87" s="8">
        <v>0</v>
      </c>
      <c r="R87" s="8">
        <v>0</v>
      </c>
      <c r="S87" s="8">
        <v>0</v>
      </c>
      <c r="T87" s="8">
        <v>0</v>
      </c>
      <c r="U87" s="8">
        <f t="shared" si="13"/>
        <v>0</v>
      </c>
      <c r="V87" s="8">
        <f>1242.68+2509.64</f>
        <v>3752.3199999999997</v>
      </c>
      <c r="W87" s="8">
        <f>3752.32/365</f>
        <v>10.280328767123288</v>
      </c>
      <c r="X87" s="8">
        <f>203.55+332.43</f>
        <v>535.98</v>
      </c>
      <c r="Y87" s="8">
        <f>1242.68+2509.64</f>
        <v>3752.3199999999997</v>
      </c>
      <c r="Z87" s="8">
        <f>3752.32/365</f>
        <v>10.280328767123288</v>
      </c>
      <c r="AA87" s="8">
        <f>203.55+332.43</f>
        <v>535.98</v>
      </c>
      <c r="AB87" s="8">
        <f t="shared" si="14"/>
        <v>0</v>
      </c>
      <c r="AC87" s="8">
        <v>0</v>
      </c>
      <c r="AD87" s="8">
        <v>0</v>
      </c>
      <c r="AE87" s="8">
        <v>0</v>
      </c>
      <c r="AF87" s="8">
        <v>0</v>
      </c>
      <c r="AG87" s="8">
        <v>0</v>
      </c>
      <c r="AH87" s="8">
        <v>0</v>
      </c>
      <c r="AI87" s="8">
        <f t="shared" si="15"/>
        <v>0</v>
      </c>
      <c r="AJ87" s="8">
        <v>0</v>
      </c>
      <c r="AK87" s="8">
        <v>0</v>
      </c>
      <c r="AL87" s="8">
        <v>0</v>
      </c>
      <c r="AM87" s="8">
        <v>0</v>
      </c>
      <c r="AN87" s="8">
        <v>0</v>
      </c>
      <c r="AO87" s="8">
        <v>0</v>
      </c>
      <c r="AP87" s="8">
        <f t="shared" si="16"/>
        <v>0</v>
      </c>
      <c r="AQ87" s="8">
        <v>5019.2700000000004</v>
      </c>
      <c r="AR87" s="8">
        <f>5019.27/365</f>
        <v>13.751424657534248</v>
      </c>
      <c r="AS87" s="8">
        <v>664.85</v>
      </c>
      <c r="AT87" s="8">
        <v>5019.2700000000004</v>
      </c>
      <c r="AU87" s="8">
        <f>5019.27/365</f>
        <v>13.751424657534248</v>
      </c>
      <c r="AV87" s="8">
        <v>664.85</v>
      </c>
      <c r="AW87" s="8">
        <f t="shared" si="17"/>
        <v>0</v>
      </c>
      <c r="AX87" s="29">
        <v>20</v>
      </c>
      <c r="AY87" s="29">
        <v>20</v>
      </c>
      <c r="AZ87" s="6" t="s">
        <v>257</v>
      </c>
      <c r="BA87" s="6" t="s">
        <v>73</v>
      </c>
    </row>
    <row r="88" spans="1:53">
      <c r="A88" s="7" t="s">
        <v>55</v>
      </c>
      <c r="B88" s="15" t="s">
        <v>237</v>
      </c>
      <c r="C88" s="24" t="s">
        <v>131</v>
      </c>
      <c r="D88" s="15" t="s">
        <v>243</v>
      </c>
      <c r="E88" s="6" t="s">
        <v>244</v>
      </c>
      <c r="F88" s="6" t="s">
        <v>59</v>
      </c>
      <c r="G88" s="10">
        <v>42331</v>
      </c>
      <c r="H88" s="8">
        <f>523.06+233.15</f>
        <v>756.20999999999992</v>
      </c>
      <c r="I88" s="8">
        <f>756.21/365</f>
        <v>2.0718082191780822</v>
      </c>
      <c r="J88" s="8">
        <f>85.68+30.88</f>
        <v>116.56</v>
      </c>
      <c r="K88" s="8">
        <f>523.06+233.15</f>
        <v>756.20999999999992</v>
      </c>
      <c r="L88" s="8">
        <f>756.21/365</f>
        <v>2.0718082191780822</v>
      </c>
      <c r="M88" s="8">
        <f>85.68+30.88</f>
        <v>116.56</v>
      </c>
      <c r="N88" s="8">
        <f t="shared" si="12"/>
        <v>0</v>
      </c>
      <c r="O88" s="8">
        <v>0</v>
      </c>
      <c r="P88" s="8">
        <v>0</v>
      </c>
      <c r="Q88" s="8">
        <v>0</v>
      </c>
      <c r="R88" s="8">
        <v>0</v>
      </c>
      <c r="S88" s="8">
        <v>0</v>
      </c>
      <c r="T88" s="8">
        <v>0</v>
      </c>
      <c r="U88" s="8">
        <f t="shared" si="13"/>
        <v>0</v>
      </c>
      <c r="V88" s="8">
        <f>523.06+233.15</f>
        <v>756.20999999999992</v>
      </c>
      <c r="W88" s="8">
        <f>756.21/365</f>
        <v>2.0718082191780822</v>
      </c>
      <c r="X88" s="8">
        <f>85.68+30.88</f>
        <v>116.56</v>
      </c>
      <c r="Y88" s="8">
        <f>523.06+233.15</f>
        <v>756.20999999999992</v>
      </c>
      <c r="Z88" s="8">
        <f>756.21/365</f>
        <v>2.0718082191780822</v>
      </c>
      <c r="AA88" s="8">
        <f>85.68+30.88</f>
        <v>116.56</v>
      </c>
      <c r="AB88" s="8">
        <f t="shared" si="14"/>
        <v>0</v>
      </c>
      <c r="AC88" s="8">
        <v>0</v>
      </c>
      <c r="AD88" s="8">
        <v>0</v>
      </c>
      <c r="AE88" s="8">
        <v>0</v>
      </c>
      <c r="AF88" s="8">
        <v>0</v>
      </c>
      <c r="AG88" s="8">
        <v>0</v>
      </c>
      <c r="AH88" s="8">
        <v>0</v>
      </c>
      <c r="AI88" s="8">
        <f t="shared" si="15"/>
        <v>0</v>
      </c>
      <c r="AJ88" s="8">
        <v>0</v>
      </c>
      <c r="AK88" s="8">
        <v>0</v>
      </c>
      <c r="AL88" s="8">
        <v>0</v>
      </c>
      <c r="AM88" s="8">
        <v>0</v>
      </c>
      <c r="AN88" s="8">
        <v>0</v>
      </c>
      <c r="AO88" s="8">
        <v>0</v>
      </c>
      <c r="AP88" s="8">
        <f t="shared" si="16"/>
        <v>0</v>
      </c>
      <c r="AQ88" s="8">
        <v>466.3</v>
      </c>
      <c r="AR88" s="8">
        <f>466.3/365</f>
        <v>1.2775342465753425</v>
      </c>
      <c r="AS88" s="8">
        <v>61.77</v>
      </c>
      <c r="AT88" s="8">
        <v>466.3</v>
      </c>
      <c r="AU88" s="8">
        <f>466.3/365</f>
        <v>1.2775342465753425</v>
      </c>
      <c r="AV88" s="8">
        <v>61.77</v>
      </c>
      <c r="AW88" s="8">
        <f t="shared" si="17"/>
        <v>0</v>
      </c>
      <c r="AX88" s="29">
        <v>20</v>
      </c>
      <c r="AY88" s="29">
        <v>20</v>
      </c>
      <c r="AZ88" s="6" t="s">
        <v>257</v>
      </c>
      <c r="BA88" s="6" t="s">
        <v>73</v>
      </c>
    </row>
    <row r="89" spans="1:53">
      <c r="A89" s="7" t="s">
        <v>55</v>
      </c>
      <c r="B89" s="15" t="s">
        <v>245</v>
      </c>
      <c r="C89" s="24" t="s">
        <v>253</v>
      </c>
      <c r="D89" s="15" t="s">
        <v>247</v>
      </c>
      <c r="E89" s="6" t="s">
        <v>15</v>
      </c>
      <c r="F89" s="6" t="s">
        <v>59</v>
      </c>
      <c r="G89" s="10">
        <v>42348</v>
      </c>
      <c r="H89" s="8">
        <v>59.2</v>
      </c>
      <c r="I89" s="8">
        <v>0.16</v>
      </c>
      <c r="J89" s="8">
        <v>9</v>
      </c>
      <c r="K89" s="8">
        <v>56.87</v>
      </c>
      <c r="L89" s="8">
        <f>57.87/365</f>
        <v>0.15854794520547943</v>
      </c>
      <c r="M89" s="8">
        <v>9.0500000000000007</v>
      </c>
      <c r="N89" s="8">
        <f t="shared" si="12"/>
        <v>-1.4520547945205686E-3</v>
      </c>
      <c r="O89" s="8">
        <v>0</v>
      </c>
      <c r="P89" s="8">
        <v>0</v>
      </c>
      <c r="Q89" s="8">
        <v>0</v>
      </c>
      <c r="R89" s="8">
        <v>0</v>
      </c>
      <c r="S89" s="8">
        <v>0</v>
      </c>
      <c r="T89" s="8">
        <v>0</v>
      </c>
      <c r="U89" s="8">
        <f t="shared" si="13"/>
        <v>0</v>
      </c>
      <c r="V89" s="8">
        <v>59.2</v>
      </c>
      <c r="W89" s="8">
        <v>0.16</v>
      </c>
      <c r="X89" s="8">
        <v>9</v>
      </c>
      <c r="Y89" s="8">
        <v>56.87</v>
      </c>
      <c r="Z89" s="8">
        <f>57.87/365</f>
        <v>0.15854794520547943</v>
      </c>
      <c r="AA89" s="8">
        <v>9.0500000000000007</v>
      </c>
      <c r="AB89" s="8">
        <f t="shared" si="14"/>
        <v>-1.4520547945205686E-3</v>
      </c>
      <c r="AC89" s="8">
        <v>0</v>
      </c>
      <c r="AD89" s="8">
        <v>0</v>
      </c>
      <c r="AE89" s="8">
        <v>0</v>
      </c>
      <c r="AF89" s="8">
        <v>0</v>
      </c>
      <c r="AG89" s="8">
        <v>0</v>
      </c>
      <c r="AH89" s="8">
        <v>0</v>
      </c>
      <c r="AI89" s="8">
        <f t="shared" si="15"/>
        <v>0</v>
      </c>
      <c r="AJ89" s="8">
        <v>0</v>
      </c>
      <c r="AK89" s="8">
        <v>0</v>
      </c>
      <c r="AL89" s="8">
        <v>0</v>
      </c>
      <c r="AM89" s="8">
        <v>0</v>
      </c>
      <c r="AN89" s="8">
        <v>0</v>
      </c>
      <c r="AO89" s="8">
        <v>0</v>
      </c>
      <c r="AP89" s="8">
        <f t="shared" si="16"/>
        <v>0</v>
      </c>
      <c r="AQ89" s="8">
        <v>0</v>
      </c>
      <c r="AR89" s="8">
        <v>0</v>
      </c>
      <c r="AS89" s="8">
        <v>0</v>
      </c>
      <c r="AT89" s="8">
        <v>0</v>
      </c>
      <c r="AU89" s="8">
        <v>0</v>
      </c>
      <c r="AV89" s="8">
        <v>0</v>
      </c>
      <c r="AW89" s="8">
        <f t="shared" si="17"/>
        <v>0</v>
      </c>
      <c r="AX89" s="29">
        <v>20</v>
      </c>
      <c r="AY89" s="29">
        <v>20</v>
      </c>
      <c r="AZ89" s="6"/>
      <c r="BA89" s="6" t="s">
        <v>73</v>
      </c>
    </row>
    <row r="90" spans="1:53">
      <c r="A90" s="7" t="s">
        <v>55</v>
      </c>
      <c r="B90" s="21" t="s">
        <v>305</v>
      </c>
      <c r="C90" s="25" t="s">
        <v>310</v>
      </c>
      <c r="D90" s="21" t="s">
        <v>304</v>
      </c>
      <c r="E90" s="6" t="s">
        <v>15</v>
      </c>
      <c r="F90" s="6" t="s">
        <v>56</v>
      </c>
      <c r="G90" s="10">
        <v>42360</v>
      </c>
      <c r="H90" s="8">
        <v>38.200000000000003</v>
      </c>
      <c r="I90" s="8">
        <v>1.23</v>
      </c>
      <c r="J90" s="8">
        <v>0.03</v>
      </c>
      <c r="K90" s="8">
        <v>38.200000000000003</v>
      </c>
      <c r="L90" s="8">
        <v>1.23</v>
      </c>
      <c r="M90" s="8">
        <v>0.03</v>
      </c>
      <c r="N90" s="8">
        <f t="shared" si="12"/>
        <v>0</v>
      </c>
      <c r="O90" s="8">
        <v>0</v>
      </c>
      <c r="P90" s="8">
        <v>0</v>
      </c>
      <c r="Q90" s="8">
        <v>0</v>
      </c>
      <c r="R90" s="8">
        <v>0</v>
      </c>
      <c r="S90" s="8">
        <v>0</v>
      </c>
      <c r="T90" s="8">
        <v>0</v>
      </c>
      <c r="U90" s="8">
        <f t="shared" si="13"/>
        <v>0</v>
      </c>
      <c r="V90" s="8">
        <v>38.200000000000003</v>
      </c>
      <c r="W90" s="8">
        <v>1.23</v>
      </c>
      <c r="X90" s="8">
        <v>0.03</v>
      </c>
      <c r="Y90" s="8">
        <v>38.200000000000003</v>
      </c>
      <c r="Z90" s="8">
        <v>1.23</v>
      </c>
      <c r="AA90" s="8">
        <v>0.03</v>
      </c>
      <c r="AB90" s="8">
        <f t="shared" si="14"/>
        <v>0</v>
      </c>
      <c r="AC90" s="8">
        <v>0</v>
      </c>
      <c r="AD90" s="8">
        <v>0</v>
      </c>
      <c r="AE90" s="8">
        <v>0</v>
      </c>
      <c r="AF90" s="8">
        <v>0</v>
      </c>
      <c r="AG90" s="8">
        <v>0</v>
      </c>
      <c r="AH90" s="8">
        <v>0</v>
      </c>
      <c r="AI90" s="8">
        <f t="shared" si="15"/>
        <v>0</v>
      </c>
      <c r="AJ90" s="8">
        <v>0</v>
      </c>
      <c r="AK90" s="8">
        <v>0</v>
      </c>
      <c r="AL90" s="8">
        <v>0</v>
      </c>
      <c r="AM90" s="8">
        <v>0</v>
      </c>
      <c r="AN90" s="8">
        <v>0</v>
      </c>
      <c r="AO90" s="8">
        <v>0</v>
      </c>
      <c r="AP90" s="8">
        <f t="shared" si="16"/>
        <v>0</v>
      </c>
      <c r="AQ90" s="8">
        <v>0</v>
      </c>
      <c r="AR90" s="8">
        <v>0</v>
      </c>
      <c r="AS90" s="8">
        <v>0</v>
      </c>
      <c r="AT90" s="8">
        <v>0</v>
      </c>
      <c r="AU90" s="8">
        <v>0</v>
      </c>
      <c r="AV90" s="8">
        <v>0</v>
      </c>
      <c r="AW90" s="8">
        <f t="shared" si="17"/>
        <v>0</v>
      </c>
      <c r="AX90" s="29">
        <v>20</v>
      </c>
      <c r="AY90" s="29">
        <v>20</v>
      </c>
      <c r="AZ90" s="6"/>
      <c r="BA90" s="6" t="s">
        <v>73</v>
      </c>
    </row>
    <row r="91" spans="1:53">
      <c r="A91" s="7" t="s">
        <v>55</v>
      </c>
      <c r="B91" s="15" t="s">
        <v>231</v>
      </c>
      <c r="C91" s="24" t="s">
        <v>235</v>
      </c>
      <c r="D91" s="15" t="s">
        <v>232</v>
      </c>
      <c r="E91" s="6" t="s">
        <v>15</v>
      </c>
      <c r="F91" s="6" t="s">
        <v>59</v>
      </c>
      <c r="G91" s="10">
        <v>42366</v>
      </c>
      <c r="H91" s="8">
        <v>520.5</v>
      </c>
      <c r="I91" s="8">
        <f>520.5/365</f>
        <v>1.4260273972602739</v>
      </c>
      <c r="J91" s="8">
        <v>88.67</v>
      </c>
      <c r="K91" s="8">
        <v>505.69</v>
      </c>
      <c r="L91" s="8">
        <f>505.69/365</f>
        <v>1.3854520547945206</v>
      </c>
      <c r="M91" s="8">
        <v>88.66</v>
      </c>
      <c r="N91" s="8">
        <f t="shared" si="12"/>
        <v>-4.0575342465753339E-2</v>
      </c>
      <c r="O91" s="8">
        <v>0</v>
      </c>
      <c r="P91" s="8">
        <v>0</v>
      </c>
      <c r="Q91" s="8">
        <v>0</v>
      </c>
      <c r="R91" s="8">
        <v>0</v>
      </c>
      <c r="S91" s="8">
        <v>0</v>
      </c>
      <c r="T91" s="8">
        <v>0</v>
      </c>
      <c r="U91" s="8">
        <f t="shared" si="13"/>
        <v>0</v>
      </c>
      <c r="V91" s="8">
        <v>520.5</v>
      </c>
      <c r="W91" s="8">
        <f>520.5/365</f>
        <v>1.4260273972602739</v>
      </c>
      <c r="X91" s="8">
        <v>88.67</v>
      </c>
      <c r="Y91" s="8">
        <v>505.69</v>
      </c>
      <c r="Z91" s="8">
        <f>505.69/365</f>
        <v>1.3854520547945206</v>
      </c>
      <c r="AA91" s="8">
        <v>88.66</v>
      </c>
      <c r="AB91" s="8">
        <f t="shared" si="14"/>
        <v>-4.0575342465753339E-2</v>
      </c>
      <c r="AC91" s="8">
        <v>0</v>
      </c>
      <c r="AD91" s="8">
        <v>0</v>
      </c>
      <c r="AE91" s="8">
        <v>0</v>
      </c>
      <c r="AF91" s="8">
        <v>0</v>
      </c>
      <c r="AG91" s="8">
        <v>0</v>
      </c>
      <c r="AH91" s="8">
        <v>0</v>
      </c>
      <c r="AI91" s="8">
        <f t="shared" si="15"/>
        <v>0</v>
      </c>
      <c r="AJ91" s="8">
        <v>0</v>
      </c>
      <c r="AK91" s="8">
        <v>0</v>
      </c>
      <c r="AL91" s="8">
        <v>0</v>
      </c>
      <c r="AM91" s="8">
        <v>0</v>
      </c>
      <c r="AN91" s="8">
        <v>0</v>
      </c>
      <c r="AO91" s="8">
        <v>0</v>
      </c>
      <c r="AP91" s="8">
        <f t="shared" si="16"/>
        <v>0</v>
      </c>
      <c r="AQ91" s="8">
        <v>0</v>
      </c>
      <c r="AR91" s="8">
        <v>0</v>
      </c>
      <c r="AS91" s="8">
        <v>0</v>
      </c>
      <c r="AT91" s="8">
        <v>0</v>
      </c>
      <c r="AU91" s="8">
        <v>0</v>
      </c>
      <c r="AV91" s="8">
        <v>0</v>
      </c>
      <c r="AW91" s="8">
        <f t="shared" si="17"/>
        <v>0</v>
      </c>
      <c r="AX91" s="29">
        <v>20</v>
      </c>
      <c r="AY91" s="29">
        <v>20</v>
      </c>
      <c r="AZ91" s="6"/>
      <c r="BA91" s="6" t="s">
        <v>73</v>
      </c>
    </row>
    <row r="92" spans="1:53">
      <c r="A92" s="7" t="s">
        <v>55</v>
      </c>
      <c r="B92" s="15" t="s">
        <v>249</v>
      </c>
      <c r="C92" s="24" t="s">
        <v>251</v>
      </c>
      <c r="D92" s="15" t="s">
        <v>250</v>
      </c>
      <c r="E92" s="6" t="s">
        <v>15</v>
      </c>
      <c r="F92" s="6" t="s">
        <v>59</v>
      </c>
      <c r="G92" s="10">
        <v>42377</v>
      </c>
      <c r="H92" s="8">
        <v>0</v>
      </c>
      <c r="I92" s="8">
        <v>0</v>
      </c>
      <c r="J92" s="8">
        <v>0</v>
      </c>
      <c r="K92" s="8">
        <v>26.28</v>
      </c>
      <c r="L92" s="8">
        <f>26.28/365</f>
        <v>7.2000000000000008E-2</v>
      </c>
      <c r="M92" s="8">
        <v>5.01</v>
      </c>
      <c r="N92" s="8">
        <f t="shared" si="12"/>
        <v>7.2000000000000008E-2</v>
      </c>
      <c r="O92" s="8">
        <v>0</v>
      </c>
      <c r="P92" s="8">
        <v>0</v>
      </c>
      <c r="Q92" s="8">
        <v>0</v>
      </c>
      <c r="R92" s="8">
        <v>0</v>
      </c>
      <c r="S92" s="8">
        <v>0</v>
      </c>
      <c r="T92" s="8">
        <v>0</v>
      </c>
      <c r="U92" s="8">
        <f t="shared" si="13"/>
        <v>0</v>
      </c>
      <c r="V92" s="8">
        <v>0</v>
      </c>
      <c r="W92" s="8">
        <v>0</v>
      </c>
      <c r="X92" s="8">
        <v>0</v>
      </c>
      <c r="Y92" s="8">
        <v>26.28</v>
      </c>
      <c r="Z92" s="8">
        <f>26.28/365</f>
        <v>7.2000000000000008E-2</v>
      </c>
      <c r="AA92" s="8">
        <v>5.01</v>
      </c>
      <c r="AB92" s="8">
        <f t="shared" si="14"/>
        <v>7.2000000000000008E-2</v>
      </c>
      <c r="AC92" s="8">
        <v>0</v>
      </c>
      <c r="AD92" s="8">
        <v>0</v>
      </c>
      <c r="AE92" s="8">
        <v>0</v>
      </c>
      <c r="AF92" s="8">
        <v>0</v>
      </c>
      <c r="AG92" s="8">
        <v>0</v>
      </c>
      <c r="AH92" s="8">
        <v>0</v>
      </c>
      <c r="AI92" s="8">
        <f t="shared" si="15"/>
        <v>0</v>
      </c>
      <c r="AJ92" s="8">
        <v>0</v>
      </c>
      <c r="AK92" s="8">
        <v>0</v>
      </c>
      <c r="AL92" s="8">
        <v>0</v>
      </c>
      <c r="AM92" s="8">
        <v>0</v>
      </c>
      <c r="AN92" s="8">
        <v>0</v>
      </c>
      <c r="AO92" s="8">
        <v>0</v>
      </c>
      <c r="AP92" s="8">
        <f t="shared" si="16"/>
        <v>0</v>
      </c>
      <c r="AQ92" s="8">
        <v>0</v>
      </c>
      <c r="AR92" s="8">
        <v>0</v>
      </c>
      <c r="AS92" s="8">
        <v>0</v>
      </c>
      <c r="AT92" s="8">
        <v>0</v>
      </c>
      <c r="AU92" s="8">
        <v>0</v>
      </c>
      <c r="AV92" s="8">
        <v>0</v>
      </c>
      <c r="AW92" s="8">
        <f t="shared" si="17"/>
        <v>0</v>
      </c>
      <c r="AX92" s="29">
        <v>20</v>
      </c>
      <c r="AY92" s="29">
        <v>20</v>
      </c>
      <c r="AZ92" s="6"/>
      <c r="BA92" s="6" t="s">
        <v>73</v>
      </c>
    </row>
    <row r="93" spans="1:53" ht="26.25">
      <c r="A93" s="7" t="s">
        <v>55</v>
      </c>
      <c r="B93" s="23" t="s">
        <v>360</v>
      </c>
      <c r="C93" s="23" t="s">
        <v>363</v>
      </c>
      <c r="D93" s="28" t="s">
        <v>357</v>
      </c>
      <c r="E93" s="6" t="s">
        <v>15</v>
      </c>
      <c r="F93" s="6" t="s">
        <v>58</v>
      </c>
      <c r="G93" s="10">
        <v>42394</v>
      </c>
      <c r="H93" s="8">
        <v>0</v>
      </c>
      <c r="I93" s="8">
        <v>0</v>
      </c>
      <c r="J93" s="8">
        <v>0</v>
      </c>
      <c r="K93" s="8">
        <v>0.62</v>
      </c>
      <c r="L93" s="8">
        <f>0.62/365</f>
        <v>1.6986301369863014E-3</v>
      </c>
      <c r="M93" s="8">
        <v>0.08</v>
      </c>
      <c r="N93" s="8">
        <f t="shared" si="12"/>
        <v>1.6986301369863014E-3</v>
      </c>
      <c r="O93" s="8">
        <v>0</v>
      </c>
      <c r="P93" s="8">
        <v>0</v>
      </c>
      <c r="Q93" s="8">
        <v>0</v>
      </c>
      <c r="R93" s="8">
        <v>0</v>
      </c>
      <c r="S93" s="8">
        <v>0</v>
      </c>
      <c r="T93" s="8">
        <v>0</v>
      </c>
      <c r="U93" s="8">
        <f t="shared" si="13"/>
        <v>0</v>
      </c>
      <c r="V93" s="8">
        <v>0</v>
      </c>
      <c r="W93" s="8">
        <v>0</v>
      </c>
      <c r="X93" s="8">
        <v>0</v>
      </c>
      <c r="Y93" s="8">
        <v>0.62</v>
      </c>
      <c r="Z93" s="8">
        <f>0.62/365</f>
        <v>1.6986301369863014E-3</v>
      </c>
      <c r="AA93" s="8">
        <v>0.08</v>
      </c>
      <c r="AB93" s="8">
        <f t="shared" si="14"/>
        <v>1.6986301369863014E-3</v>
      </c>
      <c r="AC93" s="8">
        <v>0</v>
      </c>
      <c r="AD93" s="8">
        <v>0</v>
      </c>
      <c r="AE93" s="8">
        <v>0</v>
      </c>
      <c r="AF93" s="8">
        <v>0</v>
      </c>
      <c r="AG93" s="8">
        <v>0</v>
      </c>
      <c r="AH93" s="8">
        <v>0</v>
      </c>
      <c r="AI93" s="8">
        <f t="shared" si="15"/>
        <v>0</v>
      </c>
      <c r="AJ93" s="8">
        <v>0</v>
      </c>
      <c r="AK93" s="8">
        <v>0</v>
      </c>
      <c r="AL93" s="8">
        <v>0</v>
      </c>
      <c r="AM93" s="8">
        <v>0</v>
      </c>
      <c r="AN93" s="8">
        <v>0</v>
      </c>
      <c r="AO93" s="8">
        <v>0</v>
      </c>
      <c r="AP93" s="8">
        <f t="shared" si="16"/>
        <v>0</v>
      </c>
      <c r="AQ93" s="8">
        <v>0</v>
      </c>
      <c r="AR93" s="8">
        <v>0</v>
      </c>
      <c r="AS93" s="8">
        <v>0</v>
      </c>
      <c r="AT93" s="8">
        <v>0</v>
      </c>
      <c r="AU93" s="8">
        <v>0</v>
      </c>
      <c r="AV93" s="8">
        <v>0</v>
      </c>
      <c r="AW93" s="8">
        <f t="shared" si="17"/>
        <v>0</v>
      </c>
      <c r="AX93" s="29">
        <v>20</v>
      </c>
      <c r="AY93" s="29">
        <v>20</v>
      </c>
      <c r="AZ93" s="6"/>
      <c r="BA93" s="6" t="s">
        <v>73</v>
      </c>
    </row>
    <row r="94" spans="1:53">
      <c r="A94" s="7" t="s">
        <v>55</v>
      </c>
      <c r="B94" s="15" t="s">
        <v>259</v>
      </c>
      <c r="C94" s="24" t="s">
        <v>261</v>
      </c>
      <c r="D94" s="15" t="s">
        <v>260</v>
      </c>
      <c r="E94" s="6" t="s">
        <v>244</v>
      </c>
      <c r="F94" s="6" t="s">
        <v>59</v>
      </c>
      <c r="G94" s="10">
        <v>42398</v>
      </c>
      <c r="H94" s="8">
        <v>49.24</v>
      </c>
      <c r="I94" s="8">
        <v>0.13</v>
      </c>
      <c r="J94" s="8">
        <v>6.06</v>
      </c>
      <c r="K94" s="8">
        <v>49.24</v>
      </c>
      <c r="L94" s="8">
        <v>0.13</v>
      </c>
      <c r="M94" s="8">
        <v>6.06</v>
      </c>
      <c r="N94" s="8">
        <f t="shared" si="12"/>
        <v>0</v>
      </c>
      <c r="O94" s="8">
        <v>0</v>
      </c>
      <c r="P94" s="8">
        <v>0</v>
      </c>
      <c r="Q94" s="8">
        <v>0</v>
      </c>
      <c r="R94" s="8">
        <v>0</v>
      </c>
      <c r="S94" s="8">
        <v>0</v>
      </c>
      <c r="T94" s="8">
        <v>0</v>
      </c>
      <c r="U94" s="8">
        <f t="shared" si="13"/>
        <v>0</v>
      </c>
      <c r="V94" s="8">
        <v>49.24</v>
      </c>
      <c r="W94" s="8">
        <v>0.13</v>
      </c>
      <c r="X94" s="8">
        <v>6.06</v>
      </c>
      <c r="Y94" s="8">
        <v>49.24</v>
      </c>
      <c r="Z94" s="8">
        <v>0.13</v>
      </c>
      <c r="AA94" s="8">
        <v>6.06</v>
      </c>
      <c r="AB94" s="8">
        <f t="shared" si="14"/>
        <v>0</v>
      </c>
      <c r="AC94" s="8">
        <v>0</v>
      </c>
      <c r="AD94" s="8">
        <v>0</v>
      </c>
      <c r="AE94" s="8">
        <v>0</v>
      </c>
      <c r="AF94" s="8">
        <v>0</v>
      </c>
      <c r="AG94" s="8">
        <v>0</v>
      </c>
      <c r="AH94" s="8">
        <v>0</v>
      </c>
      <c r="AI94" s="8">
        <f t="shared" si="15"/>
        <v>0</v>
      </c>
      <c r="AJ94" s="8">
        <v>0</v>
      </c>
      <c r="AK94" s="8">
        <v>0</v>
      </c>
      <c r="AL94" s="8">
        <v>0</v>
      </c>
      <c r="AM94" s="8">
        <v>0</v>
      </c>
      <c r="AN94" s="8">
        <v>0</v>
      </c>
      <c r="AO94" s="8">
        <v>0</v>
      </c>
      <c r="AP94" s="8">
        <f t="shared" si="16"/>
        <v>0</v>
      </c>
      <c r="AQ94" s="8">
        <v>6.28</v>
      </c>
      <c r="AR94" s="8">
        <v>1.7000000000000001E-2</v>
      </c>
      <c r="AS94" s="8">
        <v>0.77</v>
      </c>
      <c r="AT94" s="8">
        <v>6.28</v>
      </c>
      <c r="AU94" s="8">
        <v>1.7000000000000001E-2</v>
      </c>
      <c r="AV94" s="8">
        <v>0.77</v>
      </c>
      <c r="AW94" s="8">
        <f t="shared" si="17"/>
        <v>0</v>
      </c>
      <c r="AX94" s="29">
        <v>20</v>
      </c>
      <c r="AY94" s="29">
        <v>20</v>
      </c>
      <c r="AZ94" s="6"/>
      <c r="BA94" s="6" t="s">
        <v>73</v>
      </c>
    </row>
    <row r="95" spans="1:53">
      <c r="A95" s="7" t="s">
        <v>55</v>
      </c>
      <c r="B95" s="23" t="s">
        <v>362</v>
      </c>
      <c r="C95" s="23" t="s">
        <v>365</v>
      </c>
      <c r="D95" s="25" t="s">
        <v>359</v>
      </c>
      <c r="E95" s="6" t="s">
        <v>15</v>
      </c>
      <c r="F95" s="6" t="s">
        <v>59</v>
      </c>
      <c r="G95" s="10">
        <v>42401</v>
      </c>
      <c r="H95" s="8">
        <v>0</v>
      </c>
      <c r="I95" s="8">
        <v>0</v>
      </c>
      <c r="J95" s="8">
        <v>0</v>
      </c>
      <c r="K95" s="8">
        <v>2.72</v>
      </c>
      <c r="L95" s="8">
        <f>2.72/365</f>
        <v>7.4520547945205488E-3</v>
      </c>
      <c r="M95" s="8">
        <v>0.33</v>
      </c>
      <c r="N95" s="8">
        <f t="shared" si="12"/>
        <v>7.4520547945205488E-3</v>
      </c>
      <c r="O95" s="8">
        <v>0</v>
      </c>
      <c r="P95" s="8">
        <v>0</v>
      </c>
      <c r="Q95" s="8">
        <v>0</v>
      </c>
      <c r="R95" s="8">
        <v>0</v>
      </c>
      <c r="S95" s="8">
        <v>0</v>
      </c>
      <c r="T95" s="8">
        <v>0</v>
      </c>
      <c r="U95" s="8">
        <f t="shared" si="13"/>
        <v>0</v>
      </c>
      <c r="V95" s="8">
        <v>0</v>
      </c>
      <c r="W95" s="8">
        <v>0</v>
      </c>
      <c r="X95" s="8">
        <v>0</v>
      </c>
      <c r="Y95" s="8">
        <v>2.72</v>
      </c>
      <c r="Z95" s="8">
        <f>2.72/365</f>
        <v>7.4520547945205488E-3</v>
      </c>
      <c r="AA95" s="8">
        <v>0.33</v>
      </c>
      <c r="AB95" s="8">
        <f t="shared" si="14"/>
        <v>7.4520547945205488E-3</v>
      </c>
      <c r="AC95" s="8">
        <v>0</v>
      </c>
      <c r="AD95" s="8">
        <v>0</v>
      </c>
      <c r="AE95" s="8">
        <v>0</v>
      </c>
      <c r="AF95" s="8">
        <v>0</v>
      </c>
      <c r="AG95" s="8">
        <v>0</v>
      </c>
      <c r="AH95" s="8">
        <v>0</v>
      </c>
      <c r="AI95" s="8">
        <f t="shared" si="15"/>
        <v>0</v>
      </c>
      <c r="AJ95" s="8">
        <v>0</v>
      </c>
      <c r="AK95" s="8">
        <v>0</v>
      </c>
      <c r="AL95" s="8">
        <v>0</v>
      </c>
      <c r="AM95" s="8">
        <v>0</v>
      </c>
      <c r="AN95" s="8">
        <v>0</v>
      </c>
      <c r="AO95" s="8">
        <v>0</v>
      </c>
      <c r="AP95" s="8">
        <f t="shared" si="16"/>
        <v>0</v>
      </c>
      <c r="AQ95" s="8">
        <v>0</v>
      </c>
      <c r="AR95" s="8">
        <v>0</v>
      </c>
      <c r="AS95" s="8">
        <v>0</v>
      </c>
      <c r="AT95" s="8">
        <v>0</v>
      </c>
      <c r="AU95" s="8">
        <v>0</v>
      </c>
      <c r="AV95" s="8">
        <v>0</v>
      </c>
      <c r="AW95" s="8">
        <f t="shared" si="17"/>
        <v>0</v>
      </c>
      <c r="AX95" s="29">
        <v>20</v>
      </c>
      <c r="AY95" s="29">
        <v>20</v>
      </c>
      <c r="AZ95" s="6"/>
      <c r="BA95" s="6" t="s">
        <v>73</v>
      </c>
    </row>
    <row r="96" spans="1:53">
      <c r="A96" s="7" t="s">
        <v>55</v>
      </c>
      <c r="B96" s="23" t="s">
        <v>361</v>
      </c>
      <c r="C96" s="23" t="s">
        <v>364</v>
      </c>
      <c r="D96" s="25" t="s">
        <v>358</v>
      </c>
      <c r="E96" s="6" t="s">
        <v>15</v>
      </c>
      <c r="F96" s="6" t="s">
        <v>58</v>
      </c>
      <c r="G96" s="10">
        <v>42409</v>
      </c>
      <c r="H96" s="8">
        <v>0</v>
      </c>
      <c r="I96" s="8">
        <v>0</v>
      </c>
      <c r="J96" s="8">
        <v>0</v>
      </c>
      <c r="K96" s="8">
        <v>3.4</v>
      </c>
      <c r="L96" s="8">
        <f>3.4/365</f>
        <v>9.3150684931506845E-3</v>
      </c>
      <c r="M96" s="8">
        <v>0.47</v>
      </c>
      <c r="N96" s="8">
        <f t="shared" si="12"/>
        <v>9.3150684931506845E-3</v>
      </c>
      <c r="O96" s="8">
        <v>0</v>
      </c>
      <c r="P96" s="8">
        <v>0</v>
      </c>
      <c r="Q96" s="8">
        <v>0</v>
      </c>
      <c r="R96" s="8">
        <v>0</v>
      </c>
      <c r="S96" s="8">
        <v>0</v>
      </c>
      <c r="T96" s="8">
        <v>0</v>
      </c>
      <c r="U96" s="8">
        <f t="shared" si="13"/>
        <v>0</v>
      </c>
      <c r="V96" s="8">
        <v>0</v>
      </c>
      <c r="W96" s="8">
        <v>0</v>
      </c>
      <c r="X96" s="8">
        <v>0</v>
      </c>
      <c r="Y96" s="8">
        <v>3.4</v>
      </c>
      <c r="Z96" s="8">
        <f>3.4/365</f>
        <v>9.3150684931506845E-3</v>
      </c>
      <c r="AA96" s="8">
        <v>0.47</v>
      </c>
      <c r="AB96" s="8">
        <f t="shared" si="14"/>
        <v>9.3150684931506845E-3</v>
      </c>
      <c r="AC96" s="8">
        <v>0</v>
      </c>
      <c r="AD96" s="8">
        <v>0</v>
      </c>
      <c r="AE96" s="8">
        <v>0</v>
      </c>
      <c r="AF96" s="8">
        <v>0</v>
      </c>
      <c r="AG96" s="8">
        <v>0</v>
      </c>
      <c r="AH96" s="8">
        <v>0</v>
      </c>
      <c r="AI96" s="8">
        <f t="shared" si="15"/>
        <v>0</v>
      </c>
      <c r="AJ96" s="8">
        <v>0</v>
      </c>
      <c r="AK96" s="8">
        <v>0</v>
      </c>
      <c r="AL96" s="8">
        <v>0</v>
      </c>
      <c r="AM96" s="8">
        <v>0</v>
      </c>
      <c r="AN96" s="8">
        <v>0</v>
      </c>
      <c r="AO96" s="8">
        <v>0</v>
      </c>
      <c r="AP96" s="8">
        <f t="shared" si="16"/>
        <v>0</v>
      </c>
      <c r="AQ96" s="8">
        <v>0</v>
      </c>
      <c r="AR96" s="8">
        <v>0</v>
      </c>
      <c r="AS96" s="8">
        <v>0</v>
      </c>
      <c r="AT96" s="8">
        <v>0</v>
      </c>
      <c r="AU96" s="8">
        <v>0</v>
      </c>
      <c r="AV96" s="8">
        <v>0</v>
      </c>
      <c r="AW96" s="8">
        <f t="shared" si="17"/>
        <v>0</v>
      </c>
      <c r="AX96" s="29">
        <v>20</v>
      </c>
      <c r="AY96" s="29">
        <v>20</v>
      </c>
      <c r="AZ96" s="6"/>
      <c r="BA96" s="6" t="s">
        <v>73</v>
      </c>
    </row>
    <row r="97" spans="1:53">
      <c r="A97" s="7" t="s">
        <v>55</v>
      </c>
      <c r="B97" s="15" t="s">
        <v>262</v>
      </c>
      <c r="C97" s="24" t="s">
        <v>264</v>
      </c>
      <c r="D97" s="15" t="s">
        <v>263</v>
      </c>
      <c r="E97" s="6" t="s">
        <v>15</v>
      </c>
      <c r="F97" s="6" t="s">
        <v>59</v>
      </c>
      <c r="G97" s="10">
        <v>42431</v>
      </c>
      <c r="H97" s="8">
        <v>37</v>
      </c>
      <c r="I97" s="8">
        <v>0.1</v>
      </c>
      <c r="J97" s="8">
        <v>5.8</v>
      </c>
      <c r="K97" s="8">
        <v>35.25</v>
      </c>
      <c r="L97" s="8">
        <f>35.25/365</f>
        <v>9.657534246575343E-2</v>
      </c>
      <c r="M97" s="8">
        <v>5.85</v>
      </c>
      <c r="N97" s="8">
        <f t="shared" si="12"/>
        <v>-3.4246575342465752E-3</v>
      </c>
      <c r="O97" s="8">
        <v>0</v>
      </c>
      <c r="P97" s="8">
        <v>0</v>
      </c>
      <c r="Q97" s="8">
        <v>0</v>
      </c>
      <c r="R97" s="8">
        <v>0</v>
      </c>
      <c r="S97" s="8">
        <v>0</v>
      </c>
      <c r="T97" s="8">
        <v>0</v>
      </c>
      <c r="U97" s="8">
        <f t="shared" si="13"/>
        <v>0</v>
      </c>
      <c r="V97" s="8">
        <v>37</v>
      </c>
      <c r="W97" s="8">
        <v>0.10136986301369863</v>
      </c>
      <c r="X97" s="8">
        <v>5.8</v>
      </c>
      <c r="Y97" s="8">
        <v>35.25</v>
      </c>
      <c r="Z97" s="8">
        <f>35.25/365</f>
        <v>9.657534246575343E-2</v>
      </c>
      <c r="AA97" s="8">
        <v>5.85</v>
      </c>
      <c r="AB97" s="8">
        <f t="shared" si="14"/>
        <v>-4.7945205479451997E-3</v>
      </c>
      <c r="AC97" s="8">
        <v>0</v>
      </c>
      <c r="AD97" s="8">
        <v>0</v>
      </c>
      <c r="AE97" s="8">
        <v>0</v>
      </c>
      <c r="AF97" s="8">
        <v>0</v>
      </c>
      <c r="AG97" s="8">
        <v>0</v>
      </c>
      <c r="AH97" s="8">
        <v>0</v>
      </c>
      <c r="AI97" s="8">
        <f t="shared" si="15"/>
        <v>0</v>
      </c>
      <c r="AJ97" s="8">
        <v>0</v>
      </c>
      <c r="AK97" s="8">
        <v>0</v>
      </c>
      <c r="AL97" s="8">
        <v>0</v>
      </c>
      <c r="AM97" s="8">
        <v>0</v>
      </c>
      <c r="AN97" s="8">
        <v>0</v>
      </c>
      <c r="AO97" s="8">
        <v>0</v>
      </c>
      <c r="AP97" s="8">
        <f t="shared" si="16"/>
        <v>0</v>
      </c>
      <c r="AQ97" s="8">
        <v>0</v>
      </c>
      <c r="AR97" s="8">
        <v>0</v>
      </c>
      <c r="AS97" s="8">
        <v>0</v>
      </c>
      <c r="AT97" s="8">
        <v>0</v>
      </c>
      <c r="AU97" s="8">
        <v>0</v>
      </c>
      <c r="AV97" s="8">
        <v>0</v>
      </c>
      <c r="AW97" s="8">
        <f t="shared" si="17"/>
        <v>0</v>
      </c>
      <c r="AX97" s="29">
        <v>20</v>
      </c>
      <c r="AY97" s="29">
        <v>20</v>
      </c>
      <c r="AZ97" s="6"/>
      <c r="BA97" s="6" t="s">
        <v>73</v>
      </c>
    </row>
    <row r="98" spans="1:53">
      <c r="A98" s="7" t="s">
        <v>55</v>
      </c>
      <c r="B98" s="23" t="s">
        <v>299</v>
      </c>
      <c r="C98" s="23" t="s">
        <v>289</v>
      </c>
      <c r="D98" s="25" t="s">
        <v>294</v>
      </c>
      <c r="E98" s="6" t="s">
        <v>15</v>
      </c>
      <c r="F98" s="6" t="s">
        <v>58</v>
      </c>
      <c r="G98" s="10">
        <v>42450</v>
      </c>
      <c r="H98" s="8">
        <v>0</v>
      </c>
      <c r="I98" s="8">
        <v>0</v>
      </c>
      <c r="J98" s="8">
        <v>0</v>
      </c>
      <c r="K98" s="8">
        <v>5.19</v>
      </c>
      <c r="L98" s="8">
        <f>5.19/365</f>
        <v>1.4219178082191782E-2</v>
      </c>
      <c r="M98" s="8">
        <v>0.67</v>
      </c>
      <c r="N98" s="8">
        <f t="shared" ref="N98:N126" si="18">+L98-I98</f>
        <v>1.4219178082191782E-2</v>
      </c>
      <c r="O98" s="8">
        <v>0</v>
      </c>
      <c r="P98" s="8">
        <v>0</v>
      </c>
      <c r="Q98" s="8">
        <v>0</v>
      </c>
      <c r="R98" s="8">
        <v>0</v>
      </c>
      <c r="S98" s="8">
        <v>0</v>
      </c>
      <c r="T98" s="8">
        <v>0</v>
      </c>
      <c r="U98" s="8">
        <f t="shared" ref="U98:U126" si="19">+S98-P98</f>
        <v>0</v>
      </c>
      <c r="V98" s="8">
        <v>0</v>
      </c>
      <c r="W98" s="8">
        <v>0</v>
      </c>
      <c r="X98" s="8">
        <v>0</v>
      </c>
      <c r="Y98" s="8">
        <v>5.19</v>
      </c>
      <c r="Z98" s="8">
        <f>5.19/365</f>
        <v>1.4219178082191782E-2</v>
      </c>
      <c r="AA98" s="8">
        <v>0.67</v>
      </c>
      <c r="AB98" s="8">
        <f t="shared" ref="AB98:AB125" si="20">+Z98-W98</f>
        <v>1.4219178082191782E-2</v>
      </c>
      <c r="AC98" s="8">
        <v>0</v>
      </c>
      <c r="AD98" s="8">
        <v>0</v>
      </c>
      <c r="AE98" s="8">
        <v>0</v>
      </c>
      <c r="AF98" s="8">
        <v>0</v>
      </c>
      <c r="AG98" s="8">
        <v>0</v>
      </c>
      <c r="AH98" s="8">
        <v>0</v>
      </c>
      <c r="AI98" s="8">
        <f t="shared" ref="AI98:AI125" si="21">+AG98-AD98</f>
        <v>0</v>
      </c>
      <c r="AJ98" s="8">
        <v>0</v>
      </c>
      <c r="AK98" s="8">
        <v>0</v>
      </c>
      <c r="AL98" s="8">
        <v>0</v>
      </c>
      <c r="AM98" s="8">
        <v>0</v>
      </c>
      <c r="AN98" s="8">
        <v>0</v>
      </c>
      <c r="AO98" s="8">
        <v>0</v>
      </c>
      <c r="AP98" s="8">
        <f t="shared" ref="AP98:AP125" si="22">+AN98-AK98</f>
        <v>0</v>
      </c>
      <c r="AQ98" s="8">
        <v>0</v>
      </c>
      <c r="AR98" s="8">
        <v>0</v>
      </c>
      <c r="AS98" s="8">
        <v>0</v>
      </c>
      <c r="AT98" s="8">
        <v>0</v>
      </c>
      <c r="AU98" s="8">
        <v>0</v>
      </c>
      <c r="AV98" s="8">
        <v>0</v>
      </c>
      <c r="AW98" s="8">
        <f t="shared" ref="AW98:AW125" si="23">+AU98-AR98</f>
        <v>0</v>
      </c>
      <c r="AX98" s="29">
        <v>20</v>
      </c>
      <c r="AY98" s="29">
        <v>20</v>
      </c>
      <c r="AZ98" s="6"/>
      <c r="BA98" s="6" t="s">
        <v>73</v>
      </c>
    </row>
    <row r="99" spans="1:53">
      <c r="A99" s="7" t="s">
        <v>55</v>
      </c>
      <c r="B99" s="15" t="s">
        <v>51</v>
      </c>
      <c r="C99" s="12" t="s">
        <v>68</v>
      </c>
      <c r="D99" s="15" t="s">
        <v>39</v>
      </c>
      <c r="E99" s="6" t="s">
        <v>15</v>
      </c>
      <c r="F99" s="6" t="s">
        <v>59</v>
      </c>
      <c r="G99" s="10">
        <v>42464</v>
      </c>
      <c r="H99" s="8">
        <v>206.67</v>
      </c>
      <c r="I99" s="8">
        <v>0.56999999999999995</v>
      </c>
      <c r="J99" s="8">
        <v>27.1</v>
      </c>
      <c r="K99" s="8">
        <v>206.67</v>
      </c>
      <c r="L99" s="8">
        <v>0.56999999999999995</v>
      </c>
      <c r="M99" s="8">
        <v>27.27</v>
      </c>
      <c r="N99" s="8">
        <f t="shared" si="18"/>
        <v>0</v>
      </c>
      <c r="O99" s="8">
        <v>0</v>
      </c>
      <c r="P99" s="8">
        <v>0</v>
      </c>
      <c r="Q99" s="8">
        <v>0</v>
      </c>
      <c r="R99" s="8">
        <v>0</v>
      </c>
      <c r="S99" s="8">
        <v>0</v>
      </c>
      <c r="T99" s="8">
        <v>0</v>
      </c>
      <c r="U99" s="8">
        <f t="shared" si="19"/>
        <v>0</v>
      </c>
      <c r="V99" s="8">
        <v>206.67</v>
      </c>
      <c r="W99" s="8">
        <v>0.56999999999999995</v>
      </c>
      <c r="X99" s="8">
        <v>27.1</v>
      </c>
      <c r="Y99" s="8">
        <v>206.67</v>
      </c>
      <c r="Z99" s="8">
        <v>0.56999999999999995</v>
      </c>
      <c r="AA99" s="8">
        <v>27.1</v>
      </c>
      <c r="AB99" s="8">
        <f t="shared" si="20"/>
        <v>0</v>
      </c>
      <c r="AC99" s="8">
        <v>0</v>
      </c>
      <c r="AD99" s="8">
        <v>0</v>
      </c>
      <c r="AE99" s="8">
        <v>0</v>
      </c>
      <c r="AF99" s="8">
        <v>0</v>
      </c>
      <c r="AG99" s="8">
        <v>0</v>
      </c>
      <c r="AH99" s="8">
        <v>0</v>
      </c>
      <c r="AI99" s="8">
        <f t="shared" si="21"/>
        <v>0</v>
      </c>
      <c r="AJ99" s="8">
        <v>0</v>
      </c>
      <c r="AK99" s="8">
        <v>0</v>
      </c>
      <c r="AL99" s="8">
        <v>0</v>
      </c>
      <c r="AM99" s="8">
        <v>0</v>
      </c>
      <c r="AN99" s="8">
        <v>0</v>
      </c>
      <c r="AO99" s="8">
        <v>0</v>
      </c>
      <c r="AP99" s="8">
        <f t="shared" si="22"/>
        <v>0</v>
      </c>
      <c r="AQ99" s="8">
        <v>0</v>
      </c>
      <c r="AR99" s="8">
        <v>0</v>
      </c>
      <c r="AS99" s="8">
        <v>0</v>
      </c>
      <c r="AT99" s="8">
        <v>0</v>
      </c>
      <c r="AU99" s="8">
        <v>0</v>
      </c>
      <c r="AV99" s="8">
        <v>0</v>
      </c>
      <c r="AW99" s="8">
        <f t="shared" si="23"/>
        <v>0</v>
      </c>
      <c r="AX99" s="7">
        <v>20</v>
      </c>
      <c r="AY99" s="7">
        <v>20</v>
      </c>
      <c r="AZ99" s="6"/>
      <c r="BA99" s="6" t="s">
        <v>73</v>
      </c>
    </row>
    <row r="100" spans="1:53">
      <c r="A100" s="7" t="s">
        <v>55</v>
      </c>
      <c r="B100" s="15" t="s">
        <v>47</v>
      </c>
      <c r="C100" s="12" t="s">
        <v>64</v>
      </c>
      <c r="D100" s="15" t="s">
        <v>35</v>
      </c>
      <c r="E100" s="6" t="s">
        <v>15</v>
      </c>
      <c r="F100" s="6" t="s">
        <v>57</v>
      </c>
      <c r="G100" s="10">
        <v>42471</v>
      </c>
      <c r="H100" s="8">
        <v>174</v>
      </c>
      <c r="I100" s="8">
        <v>0.47</v>
      </c>
      <c r="J100" s="8">
        <v>23.18</v>
      </c>
      <c r="K100" s="8">
        <v>23.18</v>
      </c>
      <c r="L100" s="8">
        <f>23.18/365</f>
        <v>6.3506849315068489E-2</v>
      </c>
      <c r="M100" s="8">
        <v>23.18</v>
      </c>
      <c r="N100" s="8">
        <f t="shared" si="18"/>
        <v>-0.40649315068493147</v>
      </c>
      <c r="O100" s="8">
        <v>0</v>
      </c>
      <c r="P100" s="8">
        <v>0</v>
      </c>
      <c r="Q100" s="8">
        <v>0</v>
      </c>
      <c r="R100" s="8">
        <v>0</v>
      </c>
      <c r="S100" s="8">
        <v>0</v>
      </c>
      <c r="T100" s="8">
        <v>0</v>
      </c>
      <c r="U100" s="8">
        <f t="shared" si="19"/>
        <v>0</v>
      </c>
      <c r="V100" s="8">
        <v>174</v>
      </c>
      <c r="W100" s="8">
        <v>0.47671232876712327</v>
      </c>
      <c r="X100" s="8">
        <v>23.18</v>
      </c>
      <c r="Y100" s="8">
        <v>23.18</v>
      </c>
      <c r="Z100" s="8">
        <v>6.4000000000000001E-2</v>
      </c>
      <c r="AA100" s="8">
        <v>23.18</v>
      </c>
      <c r="AB100" s="8">
        <f t="shared" si="20"/>
        <v>-0.41271232876712327</v>
      </c>
      <c r="AC100" s="8">
        <v>0</v>
      </c>
      <c r="AD100" s="8">
        <v>0</v>
      </c>
      <c r="AE100" s="8">
        <v>0</v>
      </c>
      <c r="AF100" s="8">
        <v>0</v>
      </c>
      <c r="AG100" s="8">
        <v>0</v>
      </c>
      <c r="AH100" s="8">
        <v>0</v>
      </c>
      <c r="AI100" s="8">
        <f t="shared" si="21"/>
        <v>0</v>
      </c>
      <c r="AJ100" s="8">
        <v>0</v>
      </c>
      <c r="AK100" s="8">
        <v>0</v>
      </c>
      <c r="AL100" s="8">
        <v>0</v>
      </c>
      <c r="AM100" s="8">
        <v>0</v>
      </c>
      <c r="AN100" s="8">
        <v>0</v>
      </c>
      <c r="AO100" s="8">
        <v>0</v>
      </c>
      <c r="AP100" s="8">
        <f t="shared" si="22"/>
        <v>0</v>
      </c>
      <c r="AQ100" s="8">
        <v>0</v>
      </c>
      <c r="AR100" s="8">
        <v>0</v>
      </c>
      <c r="AS100" s="8">
        <v>0</v>
      </c>
      <c r="AT100" s="8">
        <v>0</v>
      </c>
      <c r="AU100" s="8">
        <v>0</v>
      </c>
      <c r="AV100" s="8">
        <v>0</v>
      </c>
      <c r="AW100" s="8">
        <f t="shared" si="23"/>
        <v>0</v>
      </c>
      <c r="AX100" s="7">
        <v>20</v>
      </c>
      <c r="AY100" s="7">
        <v>20</v>
      </c>
      <c r="AZ100" s="6"/>
      <c r="BA100" s="6" t="s">
        <v>73</v>
      </c>
    </row>
    <row r="101" spans="1:53">
      <c r="A101" s="7" t="s">
        <v>55</v>
      </c>
      <c r="B101" s="15" t="s">
        <v>46</v>
      </c>
      <c r="C101" s="24" t="s">
        <v>63</v>
      </c>
      <c r="D101" s="15" t="s">
        <v>34</v>
      </c>
      <c r="E101" s="6" t="s">
        <v>15</v>
      </c>
      <c r="F101" s="6" t="s">
        <v>59</v>
      </c>
      <c r="G101" s="10">
        <v>42475</v>
      </c>
      <c r="H101" s="8">
        <v>64.58</v>
      </c>
      <c r="I101" s="8">
        <f>64.58/365</f>
        <v>0.17693150684931505</v>
      </c>
      <c r="J101" s="8">
        <v>9.8800000000000008</v>
      </c>
      <c r="K101" s="8">
        <v>62.05</v>
      </c>
      <c r="L101" s="8">
        <f>62.05/365</f>
        <v>0.16999999999999998</v>
      </c>
      <c r="M101" s="8">
        <v>9.8800000000000008</v>
      </c>
      <c r="N101" s="8">
        <f t="shared" si="18"/>
        <v>-6.9315068493150667E-3</v>
      </c>
      <c r="O101" s="8">
        <v>0</v>
      </c>
      <c r="P101" s="8">
        <v>0</v>
      </c>
      <c r="Q101" s="8">
        <v>0</v>
      </c>
      <c r="R101" s="8">
        <v>0</v>
      </c>
      <c r="S101" s="8">
        <v>0</v>
      </c>
      <c r="T101" s="8">
        <v>0</v>
      </c>
      <c r="U101" s="8">
        <f t="shared" si="19"/>
        <v>0</v>
      </c>
      <c r="V101" s="8">
        <v>64.58</v>
      </c>
      <c r="W101" s="8">
        <f>64.58/365</f>
        <v>0.17693150684931505</v>
      </c>
      <c r="X101" s="8">
        <v>9.8800000000000008</v>
      </c>
      <c r="Y101" s="8">
        <v>62.05</v>
      </c>
      <c r="Z101" s="8">
        <f>62.05/365</f>
        <v>0.16999999999999998</v>
      </c>
      <c r="AA101" s="8">
        <v>9.8800000000000008</v>
      </c>
      <c r="AB101" s="8">
        <f t="shared" si="20"/>
        <v>-6.9315068493150667E-3</v>
      </c>
      <c r="AC101" s="8">
        <v>0</v>
      </c>
      <c r="AD101" s="8">
        <v>0</v>
      </c>
      <c r="AE101" s="8">
        <v>0</v>
      </c>
      <c r="AF101" s="8">
        <v>0</v>
      </c>
      <c r="AG101" s="8">
        <v>0</v>
      </c>
      <c r="AH101" s="8">
        <v>0</v>
      </c>
      <c r="AI101" s="8">
        <f t="shared" si="21"/>
        <v>0</v>
      </c>
      <c r="AJ101" s="8">
        <v>0</v>
      </c>
      <c r="AK101" s="8">
        <v>0</v>
      </c>
      <c r="AL101" s="8">
        <v>0</v>
      </c>
      <c r="AM101" s="8">
        <v>0</v>
      </c>
      <c r="AN101" s="8">
        <v>0</v>
      </c>
      <c r="AO101" s="8">
        <v>0</v>
      </c>
      <c r="AP101" s="8">
        <f t="shared" si="22"/>
        <v>0</v>
      </c>
      <c r="AQ101" s="8">
        <v>0</v>
      </c>
      <c r="AR101" s="8">
        <v>0</v>
      </c>
      <c r="AS101" s="8">
        <v>0</v>
      </c>
      <c r="AT101" s="8">
        <v>0</v>
      </c>
      <c r="AU101" s="8">
        <v>0</v>
      </c>
      <c r="AV101" s="8">
        <v>0</v>
      </c>
      <c r="AW101" s="8">
        <f t="shared" si="23"/>
        <v>0</v>
      </c>
      <c r="AX101" s="29">
        <v>20</v>
      </c>
      <c r="AY101" s="29">
        <v>20</v>
      </c>
      <c r="AZ101" s="6"/>
      <c r="BA101" s="6" t="s">
        <v>73</v>
      </c>
    </row>
    <row r="102" spans="1:53">
      <c r="A102" s="7" t="s">
        <v>55</v>
      </c>
      <c r="B102" s="15" t="s">
        <v>45</v>
      </c>
      <c r="C102" s="24" t="s">
        <v>62</v>
      </c>
      <c r="D102" s="15" t="s">
        <v>33</v>
      </c>
      <c r="E102" s="6" t="s">
        <v>15</v>
      </c>
      <c r="F102" s="6" t="s">
        <v>59</v>
      </c>
      <c r="G102" s="32">
        <v>42486</v>
      </c>
      <c r="H102" s="8">
        <v>39.99</v>
      </c>
      <c r="I102" s="8">
        <f>39.99/365</f>
        <v>0.10956164383561644</v>
      </c>
      <c r="J102" s="8">
        <v>6.11</v>
      </c>
      <c r="K102" s="8">
        <v>38.42</v>
      </c>
      <c r="L102" s="8">
        <v>0.105</v>
      </c>
      <c r="M102" s="8">
        <v>6.11</v>
      </c>
      <c r="N102" s="8">
        <f t="shared" si="18"/>
        <v>-4.5616438356164413E-3</v>
      </c>
      <c r="O102" s="8">
        <v>0</v>
      </c>
      <c r="P102" s="8">
        <v>0</v>
      </c>
      <c r="Q102" s="8">
        <v>0</v>
      </c>
      <c r="R102" s="8">
        <v>0</v>
      </c>
      <c r="S102" s="8">
        <v>0</v>
      </c>
      <c r="T102" s="8">
        <v>0</v>
      </c>
      <c r="U102" s="8">
        <f t="shared" si="19"/>
        <v>0</v>
      </c>
      <c r="V102" s="8">
        <v>39.99</v>
      </c>
      <c r="W102" s="8">
        <f>39.99/365</f>
        <v>0.10956164383561644</v>
      </c>
      <c r="X102" s="8">
        <v>6.11</v>
      </c>
      <c r="Y102" s="8">
        <v>38.42</v>
      </c>
      <c r="Z102" s="8">
        <v>0.105</v>
      </c>
      <c r="AA102" s="8">
        <v>6.11</v>
      </c>
      <c r="AB102" s="8">
        <f t="shared" si="20"/>
        <v>-4.5616438356164413E-3</v>
      </c>
      <c r="AC102" s="8">
        <v>0</v>
      </c>
      <c r="AD102" s="8">
        <v>0</v>
      </c>
      <c r="AE102" s="8">
        <v>0</v>
      </c>
      <c r="AF102" s="8">
        <v>0</v>
      </c>
      <c r="AG102" s="8">
        <v>0</v>
      </c>
      <c r="AH102" s="8">
        <v>0</v>
      </c>
      <c r="AI102" s="8">
        <f t="shared" si="21"/>
        <v>0</v>
      </c>
      <c r="AJ102" s="8">
        <v>0</v>
      </c>
      <c r="AK102" s="8">
        <v>0</v>
      </c>
      <c r="AL102" s="8">
        <v>0</v>
      </c>
      <c r="AM102" s="8">
        <v>0</v>
      </c>
      <c r="AN102" s="8">
        <v>0</v>
      </c>
      <c r="AO102" s="8">
        <v>0</v>
      </c>
      <c r="AP102" s="8">
        <f t="shared" si="22"/>
        <v>0</v>
      </c>
      <c r="AQ102" s="8">
        <v>0</v>
      </c>
      <c r="AR102" s="8">
        <v>0</v>
      </c>
      <c r="AS102" s="8">
        <v>0</v>
      </c>
      <c r="AT102" s="8">
        <v>0</v>
      </c>
      <c r="AU102" s="8">
        <v>0</v>
      </c>
      <c r="AV102" s="8">
        <v>0</v>
      </c>
      <c r="AW102" s="8">
        <f t="shared" si="23"/>
        <v>0</v>
      </c>
      <c r="AX102" s="29">
        <v>20</v>
      </c>
      <c r="AY102" s="29">
        <v>20</v>
      </c>
      <c r="AZ102" s="6"/>
      <c r="BA102" s="6" t="s">
        <v>73</v>
      </c>
    </row>
    <row r="103" spans="1:53">
      <c r="A103" s="7" t="s">
        <v>55</v>
      </c>
      <c r="B103" s="15" t="s">
        <v>376</v>
      </c>
      <c r="C103" s="24" t="s">
        <v>377</v>
      </c>
      <c r="D103" s="13" t="s">
        <v>378</v>
      </c>
      <c r="E103" s="6" t="s">
        <v>15</v>
      </c>
      <c r="F103" s="6" t="s">
        <v>56</v>
      </c>
      <c r="G103" s="10">
        <v>42488</v>
      </c>
      <c r="H103" s="8">
        <v>0</v>
      </c>
      <c r="I103" s="8">
        <v>0</v>
      </c>
      <c r="J103" s="8">
        <v>0</v>
      </c>
      <c r="K103" s="8">
        <v>1.83</v>
      </c>
      <c r="L103" s="8">
        <f>1.83/365</f>
        <v>5.0136986301369865E-3</v>
      </c>
      <c r="M103" s="8">
        <v>0.15</v>
      </c>
      <c r="N103" s="8">
        <f t="shared" si="18"/>
        <v>5.0136986301369865E-3</v>
      </c>
      <c r="O103" s="8">
        <v>0</v>
      </c>
      <c r="P103" s="8">
        <v>0</v>
      </c>
      <c r="Q103" s="8">
        <v>0</v>
      </c>
      <c r="R103" s="8">
        <v>0</v>
      </c>
      <c r="S103" s="8">
        <v>0</v>
      </c>
      <c r="T103" s="8">
        <v>0</v>
      </c>
      <c r="U103" s="8">
        <f t="shared" si="19"/>
        <v>0</v>
      </c>
      <c r="V103" s="8">
        <v>0</v>
      </c>
      <c r="W103" s="8">
        <v>0</v>
      </c>
      <c r="X103" s="8">
        <v>0</v>
      </c>
      <c r="Y103" s="8">
        <v>1.83</v>
      </c>
      <c r="Z103" s="8">
        <f>1.83/365</f>
        <v>5.0136986301369865E-3</v>
      </c>
      <c r="AA103" s="8">
        <v>0.15</v>
      </c>
      <c r="AB103" s="8">
        <f t="shared" si="20"/>
        <v>5.0136986301369865E-3</v>
      </c>
      <c r="AC103" s="8">
        <v>0</v>
      </c>
      <c r="AD103" s="8">
        <v>0</v>
      </c>
      <c r="AE103" s="8">
        <v>0</v>
      </c>
      <c r="AF103" s="8">
        <v>0</v>
      </c>
      <c r="AG103" s="8">
        <v>0</v>
      </c>
      <c r="AH103" s="8">
        <v>0</v>
      </c>
      <c r="AI103" s="8">
        <f t="shared" si="21"/>
        <v>0</v>
      </c>
      <c r="AJ103" s="8">
        <v>0</v>
      </c>
      <c r="AK103" s="8">
        <v>0</v>
      </c>
      <c r="AL103" s="8">
        <v>0</v>
      </c>
      <c r="AM103" s="8">
        <v>0</v>
      </c>
      <c r="AN103" s="8">
        <v>0</v>
      </c>
      <c r="AO103" s="8">
        <v>0</v>
      </c>
      <c r="AP103" s="8">
        <f t="shared" si="22"/>
        <v>0</v>
      </c>
      <c r="AQ103" s="8">
        <v>0</v>
      </c>
      <c r="AR103" s="8">
        <v>0</v>
      </c>
      <c r="AS103" s="8">
        <v>0</v>
      </c>
      <c r="AT103" s="8">
        <v>0</v>
      </c>
      <c r="AU103" s="8">
        <v>0</v>
      </c>
      <c r="AV103" s="8">
        <v>0</v>
      </c>
      <c r="AW103" s="8">
        <f t="shared" si="23"/>
        <v>0</v>
      </c>
      <c r="AX103" s="29">
        <v>20</v>
      </c>
      <c r="AY103" s="29">
        <v>20</v>
      </c>
      <c r="AZ103" s="6"/>
      <c r="BA103" s="6" t="s">
        <v>73</v>
      </c>
    </row>
    <row r="104" spans="1:53">
      <c r="A104" s="35" t="s">
        <v>55</v>
      </c>
      <c r="B104" s="15" t="s">
        <v>382</v>
      </c>
      <c r="C104" s="24" t="s">
        <v>383</v>
      </c>
      <c r="D104" s="13" t="s">
        <v>384</v>
      </c>
      <c r="E104" s="6" t="s">
        <v>15</v>
      </c>
      <c r="F104" s="6" t="s">
        <v>58</v>
      </c>
      <c r="G104" s="10">
        <v>42493</v>
      </c>
      <c r="H104" s="8">
        <v>0</v>
      </c>
      <c r="I104" s="8">
        <v>0</v>
      </c>
      <c r="J104" s="8">
        <v>0</v>
      </c>
      <c r="K104" s="8">
        <v>2.5</v>
      </c>
      <c r="L104" s="8">
        <f>2.5/365</f>
        <v>6.8493150684931503E-3</v>
      </c>
      <c r="M104" s="8">
        <v>0.33</v>
      </c>
      <c r="N104" s="8">
        <f t="shared" si="18"/>
        <v>6.8493150684931503E-3</v>
      </c>
      <c r="O104" s="8">
        <v>0</v>
      </c>
      <c r="P104" s="8">
        <v>0</v>
      </c>
      <c r="Q104" s="8">
        <v>0</v>
      </c>
      <c r="R104" s="8">
        <v>0</v>
      </c>
      <c r="S104" s="8">
        <v>0</v>
      </c>
      <c r="T104" s="8">
        <v>0</v>
      </c>
      <c r="U104" s="8">
        <f t="shared" si="19"/>
        <v>0</v>
      </c>
      <c r="V104" s="8">
        <v>0</v>
      </c>
      <c r="W104" s="8">
        <v>0</v>
      </c>
      <c r="X104" s="8">
        <v>0</v>
      </c>
      <c r="Y104" s="8">
        <v>2.5</v>
      </c>
      <c r="Z104" s="8">
        <f>2.5/365</f>
        <v>6.8493150684931503E-3</v>
      </c>
      <c r="AA104" s="8">
        <v>0.33</v>
      </c>
      <c r="AB104" s="8">
        <f t="shared" si="20"/>
        <v>6.8493150684931503E-3</v>
      </c>
      <c r="AC104" s="8">
        <v>0</v>
      </c>
      <c r="AD104" s="8">
        <v>0</v>
      </c>
      <c r="AE104" s="8">
        <v>0</v>
      </c>
      <c r="AF104" s="8">
        <v>0</v>
      </c>
      <c r="AG104" s="8">
        <v>0</v>
      </c>
      <c r="AH104" s="8">
        <v>0</v>
      </c>
      <c r="AI104" s="8">
        <f t="shared" si="21"/>
        <v>0</v>
      </c>
      <c r="AJ104" s="8">
        <v>0</v>
      </c>
      <c r="AK104" s="8">
        <v>0</v>
      </c>
      <c r="AL104" s="8">
        <v>0</v>
      </c>
      <c r="AM104" s="8">
        <v>0</v>
      </c>
      <c r="AN104" s="8">
        <v>0</v>
      </c>
      <c r="AO104" s="8">
        <v>0</v>
      </c>
      <c r="AP104" s="8">
        <f t="shared" si="22"/>
        <v>0</v>
      </c>
      <c r="AQ104" s="8">
        <v>0</v>
      </c>
      <c r="AR104" s="8">
        <v>0</v>
      </c>
      <c r="AS104" s="8">
        <v>0</v>
      </c>
      <c r="AT104" s="8">
        <v>0</v>
      </c>
      <c r="AU104" s="8">
        <v>0</v>
      </c>
      <c r="AV104" s="8">
        <v>0</v>
      </c>
      <c r="AW104" s="8">
        <f t="shared" si="23"/>
        <v>0</v>
      </c>
      <c r="AX104" s="29">
        <v>20</v>
      </c>
      <c r="AY104" s="29">
        <v>20</v>
      </c>
      <c r="AZ104" s="6"/>
      <c r="BA104" s="6" t="s">
        <v>73</v>
      </c>
    </row>
    <row r="105" spans="1:53">
      <c r="A105" s="7" t="s">
        <v>55</v>
      </c>
      <c r="B105" s="15" t="s">
        <v>75</v>
      </c>
      <c r="C105" s="12" t="s">
        <v>76</v>
      </c>
      <c r="D105" s="13" t="s">
        <v>77</v>
      </c>
      <c r="E105" s="6" t="s">
        <v>15</v>
      </c>
      <c r="F105" s="6" t="s">
        <v>59</v>
      </c>
      <c r="G105" s="10">
        <v>42506</v>
      </c>
      <c r="H105" s="8">
        <v>73.11</v>
      </c>
      <c r="I105" s="8">
        <f>73.11/365</f>
        <v>0.2003013698630137</v>
      </c>
      <c r="J105" s="8">
        <v>13.99</v>
      </c>
      <c r="K105" s="8">
        <v>7.98</v>
      </c>
      <c r="L105" s="8">
        <f>7.98/365</f>
        <v>2.1863013698630137E-2</v>
      </c>
      <c r="M105" s="8">
        <v>1.65</v>
      </c>
      <c r="N105" s="8">
        <f t="shared" si="18"/>
        <v>-0.17843835616438355</v>
      </c>
      <c r="O105" s="8">
        <v>0</v>
      </c>
      <c r="P105" s="8">
        <v>0</v>
      </c>
      <c r="Q105" s="8">
        <v>0</v>
      </c>
      <c r="R105" s="8">
        <v>0</v>
      </c>
      <c r="S105" s="8">
        <v>0</v>
      </c>
      <c r="T105" s="8">
        <v>0</v>
      </c>
      <c r="U105" s="8">
        <f t="shared" si="19"/>
        <v>0</v>
      </c>
      <c r="V105" s="8">
        <v>73.12</v>
      </c>
      <c r="W105" s="8">
        <v>0.2</v>
      </c>
      <c r="X105" s="8">
        <v>14</v>
      </c>
      <c r="Y105" s="8">
        <v>7.98</v>
      </c>
      <c r="Z105" s="8">
        <f>7.97/365</f>
        <v>2.1835616438356163E-2</v>
      </c>
      <c r="AA105" s="8">
        <v>1.65</v>
      </c>
      <c r="AB105" s="8">
        <f t="shared" si="20"/>
        <v>-0.17816438356164385</v>
      </c>
      <c r="AC105" s="8">
        <v>0</v>
      </c>
      <c r="AD105" s="8">
        <v>0</v>
      </c>
      <c r="AE105" s="8">
        <v>0</v>
      </c>
      <c r="AF105" s="8">
        <v>0</v>
      </c>
      <c r="AG105" s="8">
        <v>0</v>
      </c>
      <c r="AH105" s="8">
        <v>0</v>
      </c>
      <c r="AI105" s="8">
        <f t="shared" si="21"/>
        <v>0</v>
      </c>
      <c r="AJ105" s="8">
        <v>0</v>
      </c>
      <c r="AK105" s="8">
        <v>0</v>
      </c>
      <c r="AL105" s="8">
        <v>0</v>
      </c>
      <c r="AM105" s="8">
        <v>0</v>
      </c>
      <c r="AN105" s="8">
        <v>0</v>
      </c>
      <c r="AO105" s="8">
        <v>0</v>
      </c>
      <c r="AP105" s="8">
        <f t="shared" si="22"/>
        <v>0</v>
      </c>
      <c r="AQ105" s="8">
        <v>0</v>
      </c>
      <c r="AR105" s="8">
        <v>0</v>
      </c>
      <c r="AS105" s="8">
        <v>0</v>
      </c>
      <c r="AT105" s="8">
        <v>0</v>
      </c>
      <c r="AU105" s="8">
        <v>0</v>
      </c>
      <c r="AV105" s="8">
        <v>0</v>
      </c>
      <c r="AW105" s="8">
        <f t="shared" si="23"/>
        <v>0</v>
      </c>
      <c r="AX105" s="7">
        <v>20</v>
      </c>
      <c r="AY105" s="7">
        <v>20</v>
      </c>
      <c r="AZ105" s="6" t="s">
        <v>265</v>
      </c>
      <c r="BA105" s="6" t="s">
        <v>73</v>
      </c>
    </row>
    <row r="106" spans="1:53">
      <c r="A106" s="7" t="s">
        <v>55</v>
      </c>
      <c r="B106" s="15" t="s">
        <v>50</v>
      </c>
      <c r="C106" s="12" t="s">
        <v>67</v>
      </c>
      <c r="D106" s="15" t="s">
        <v>38</v>
      </c>
      <c r="E106" s="6" t="s">
        <v>15</v>
      </c>
      <c r="F106" s="6" t="s">
        <v>59</v>
      </c>
      <c r="G106" s="10">
        <v>42508</v>
      </c>
      <c r="H106" s="8">
        <v>20.7</v>
      </c>
      <c r="I106" s="8">
        <v>0.06</v>
      </c>
      <c r="J106" s="8">
        <v>3.3</v>
      </c>
      <c r="K106" s="8">
        <v>20.7</v>
      </c>
      <c r="L106" s="8">
        <v>0.06</v>
      </c>
      <c r="M106" s="8">
        <v>3.3</v>
      </c>
      <c r="N106" s="8">
        <f t="shared" si="18"/>
        <v>0</v>
      </c>
      <c r="O106" s="8">
        <v>0</v>
      </c>
      <c r="P106" s="8">
        <v>0</v>
      </c>
      <c r="Q106" s="8">
        <v>0</v>
      </c>
      <c r="R106" s="8">
        <v>0</v>
      </c>
      <c r="S106" s="8">
        <v>0</v>
      </c>
      <c r="T106" s="8">
        <v>0</v>
      </c>
      <c r="U106" s="8">
        <f t="shared" si="19"/>
        <v>0</v>
      </c>
      <c r="V106" s="8">
        <v>20.7</v>
      </c>
      <c r="W106" s="8">
        <v>0.06</v>
      </c>
      <c r="X106" s="8">
        <v>3.3</v>
      </c>
      <c r="Y106" s="8">
        <v>20.7</v>
      </c>
      <c r="Z106" s="8">
        <v>0.06</v>
      </c>
      <c r="AA106" s="8">
        <v>3.3</v>
      </c>
      <c r="AB106" s="8">
        <f t="shared" si="20"/>
        <v>0</v>
      </c>
      <c r="AC106" s="8">
        <v>0</v>
      </c>
      <c r="AD106" s="8">
        <v>0</v>
      </c>
      <c r="AE106" s="8">
        <v>0</v>
      </c>
      <c r="AF106" s="8">
        <v>0</v>
      </c>
      <c r="AG106" s="8">
        <v>0</v>
      </c>
      <c r="AH106" s="8">
        <v>0</v>
      </c>
      <c r="AI106" s="8">
        <f t="shared" si="21"/>
        <v>0</v>
      </c>
      <c r="AJ106" s="8">
        <v>0</v>
      </c>
      <c r="AK106" s="8">
        <v>0</v>
      </c>
      <c r="AL106" s="8">
        <v>0</v>
      </c>
      <c r="AM106" s="8">
        <v>0</v>
      </c>
      <c r="AN106" s="8">
        <v>0</v>
      </c>
      <c r="AO106" s="8">
        <v>0</v>
      </c>
      <c r="AP106" s="8">
        <f t="shared" si="22"/>
        <v>0</v>
      </c>
      <c r="AQ106" s="8">
        <v>0</v>
      </c>
      <c r="AR106" s="8">
        <v>0</v>
      </c>
      <c r="AS106" s="8">
        <v>0</v>
      </c>
      <c r="AT106" s="8">
        <v>0</v>
      </c>
      <c r="AU106" s="8">
        <v>0</v>
      </c>
      <c r="AV106" s="8">
        <v>0</v>
      </c>
      <c r="AW106" s="8">
        <f t="shared" si="23"/>
        <v>0</v>
      </c>
      <c r="AX106" s="7">
        <v>20</v>
      </c>
      <c r="AY106" s="7">
        <v>20</v>
      </c>
      <c r="AZ106" s="6"/>
      <c r="BA106" s="6" t="s">
        <v>73</v>
      </c>
    </row>
    <row r="107" spans="1:53">
      <c r="A107" s="7" t="s">
        <v>55</v>
      </c>
      <c r="B107" s="15" t="s">
        <v>400</v>
      </c>
      <c r="C107" s="35" t="s">
        <v>401</v>
      </c>
      <c r="D107" s="6" t="s">
        <v>402</v>
      </c>
      <c r="E107" s="6" t="s">
        <v>101</v>
      </c>
      <c r="F107" s="6" t="s">
        <v>56</v>
      </c>
      <c r="G107" s="10">
        <v>42509</v>
      </c>
      <c r="H107" s="8">
        <v>4.8499999999999996</v>
      </c>
      <c r="I107" s="8">
        <f>4.85/365</f>
        <v>1.3287671232876712E-2</v>
      </c>
      <c r="J107" s="8">
        <v>0.41</v>
      </c>
      <c r="K107" s="8">
        <v>4.8499999999999996</v>
      </c>
      <c r="L107" s="8">
        <f>4.85/365</f>
        <v>1.3287671232876712E-2</v>
      </c>
      <c r="M107" s="8">
        <v>0.41</v>
      </c>
      <c r="N107" s="8">
        <f t="shared" si="18"/>
        <v>0</v>
      </c>
      <c r="O107" s="8">
        <v>4.8499999999999996</v>
      </c>
      <c r="P107" s="8">
        <f>4.85/365</f>
        <v>1.3287671232876712E-2</v>
      </c>
      <c r="Q107" s="8">
        <v>0.41</v>
      </c>
      <c r="R107" s="8">
        <v>4.8499999999999996</v>
      </c>
      <c r="S107" s="8">
        <f>4.85/365</f>
        <v>1.3287671232876712E-2</v>
      </c>
      <c r="T107" s="8">
        <v>0.41</v>
      </c>
      <c r="U107" s="8">
        <f t="shared" si="19"/>
        <v>0</v>
      </c>
      <c r="V107" s="8">
        <v>0</v>
      </c>
      <c r="W107" s="8">
        <v>0</v>
      </c>
      <c r="X107" s="8">
        <v>0</v>
      </c>
      <c r="Y107" s="8">
        <v>0</v>
      </c>
      <c r="Z107" s="8">
        <v>0</v>
      </c>
      <c r="AA107" s="8">
        <v>0</v>
      </c>
      <c r="AB107" s="8">
        <f t="shared" si="20"/>
        <v>0</v>
      </c>
      <c r="AC107" s="8">
        <v>0</v>
      </c>
      <c r="AD107" s="8">
        <v>0</v>
      </c>
      <c r="AE107" s="8">
        <v>0</v>
      </c>
      <c r="AF107" s="8">
        <v>0</v>
      </c>
      <c r="AG107" s="8">
        <v>0</v>
      </c>
      <c r="AH107" s="8">
        <v>0</v>
      </c>
      <c r="AI107" s="8">
        <f t="shared" si="21"/>
        <v>0</v>
      </c>
      <c r="AJ107" s="8">
        <v>0</v>
      </c>
      <c r="AK107" s="8">
        <v>0</v>
      </c>
      <c r="AL107" s="8">
        <v>0</v>
      </c>
      <c r="AM107" s="8">
        <v>0</v>
      </c>
      <c r="AN107" s="8">
        <v>0</v>
      </c>
      <c r="AO107" s="8">
        <v>0</v>
      </c>
      <c r="AP107" s="8">
        <f t="shared" si="22"/>
        <v>0</v>
      </c>
      <c r="AQ107" s="8">
        <v>0</v>
      </c>
      <c r="AR107" s="8">
        <v>0</v>
      </c>
      <c r="AS107" s="8">
        <v>0</v>
      </c>
      <c r="AT107" s="8">
        <v>0</v>
      </c>
      <c r="AU107" s="8">
        <v>0</v>
      </c>
      <c r="AV107" s="8">
        <v>0</v>
      </c>
      <c r="AW107" s="8">
        <f t="shared" si="23"/>
        <v>0</v>
      </c>
      <c r="AX107" s="35">
        <v>20</v>
      </c>
      <c r="AY107" s="7">
        <v>20</v>
      </c>
      <c r="AZ107" s="6"/>
      <c r="BA107" s="6" t="s">
        <v>73</v>
      </c>
    </row>
    <row r="108" spans="1:53">
      <c r="A108" s="35" t="s">
        <v>55</v>
      </c>
      <c r="B108" s="15" t="s">
        <v>403</v>
      </c>
      <c r="C108" s="35" t="s">
        <v>405</v>
      </c>
      <c r="D108" s="6" t="s">
        <v>404</v>
      </c>
      <c r="E108" s="6" t="s">
        <v>101</v>
      </c>
      <c r="F108" s="6" t="s">
        <v>58</v>
      </c>
      <c r="G108" s="10">
        <v>42509</v>
      </c>
      <c r="H108" s="8">
        <v>0</v>
      </c>
      <c r="I108" s="8">
        <v>0</v>
      </c>
      <c r="J108" s="8">
        <v>0</v>
      </c>
      <c r="K108" s="8">
        <v>1.1499999999999999</v>
      </c>
      <c r="L108" s="8">
        <f>1.15/365</f>
        <v>3.150684931506849E-3</v>
      </c>
      <c r="M108" s="8">
        <v>0.15</v>
      </c>
      <c r="N108" s="8">
        <f t="shared" si="18"/>
        <v>3.150684931506849E-3</v>
      </c>
      <c r="O108" s="8">
        <v>0</v>
      </c>
      <c r="P108" s="8">
        <v>0</v>
      </c>
      <c r="Q108" s="8">
        <v>0</v>
      </c>
      <c r="R108" s="8">
        <v>1.1499999999999999</v>
      </c>
      <c r="S108" s="8">
        <f>1.15/365</f>
        <v>3.150684931506849E-3</v>
      </c>
      <c r="T108" s="8">
        <v>0.15</v>
      </c>
      <c r="U108" s="8">
        <f t="shared" si="19"/>
        <v>3.150684931506849E-3</v>
      </c>
      <c r="V108" s="8">
        <v>0</v>
      </c>
      <c r="W108" s="8">
        <v>0</v>
      </c>
      <c r="X108" s="8">
        <v>0</v>
      </c>
      <c r="Y108" s="8">
        <v>0</v>
      </c>
      <c r="Z108" s="8">
        <v>0</v>
      </c>
      <c r="AA108" s="8">
        <v>0</v>
      </c>
      <c r="AB108" s="8">
        <f t="shared" si="20"/>
        <v>0</v>
      </c>
      <c r="AC108" s="8">
        <v>0</v>
      </c>
      <c r="AD108" s="8">
        <v>0</v>
      </c>
      <c r="AE108" s="8">
        <v>0</v>
      </c>
      <c r="AF108" s="8">
        <v>0</v>
      </c>
      <c r="AG108" s="8">
        <v>0</v>
      </c>
      <c r="AH108" s="8">
        <v>0</v>
      </c>
      <c r="AI108" s="8">
        <f t="shared" si="21"/>
        <v>0</v>
      </c>
      <c r="AJ108" s="8">
        <v>0</v>
      </c>
      <c r="AK108" s="8">
        <v>0</v>
      </c>
      <c r="AL108" s="8">
        <v>0</v>
      </c>
      <c r="AM108" s="8">
        <v>0</v>
      </c>
      <c r="AN108" s="8">
        <v>0</v>
      </c>
      <c r="AO108" s="8">
        <v>0</v>
      </c>
      <c r="AP108" s="8">
        <f t="shared" si="22"/>
        <v>0</v>
      </c>
      <c r="AQ108" s="8">
        <v>0</v>
      </c>
      <c r="AR108" s="8">
        <v>0</v>
      </c>
      <c r="AS108" s="8">
        <v>0</v>
      </c>
      <c r="AT108" s="8">
        <v>0</v>
      </c>
      <c r="AU108" s="8">
        <v>0</v>
      </c>
      <c r="AV108" s="8">
        <v>0</v>
      </c>
      <c r="AW108" s="8">
        <f t="shared" si="23"/>
        <v>0</v>
      </c>
      <c r="AX108" s="35">
        <v>20</v>
      </c>
      <c r="AY108" s="7">
        <v>20</v>
      </c>
      <c r="AZ108" s="6"/>
      <c r="BA108" s="6" t="s">
        <v>73</v>
      </c>
    </row>
    <row r="109" spans="1:53" ht="30">
      <c r="A109" s="7" t="s">
        <v>55</v>
      </c>
      <c r="B109" s="7" t="s">
        <v>391</v>
      </c>
      <c r="C109" s="7" t="s">
        <v>388</v>
      </c>
      <c r="D109" s="6" t="s">
        <v>389</v>
      </c>
      <c r="E109" s="6" t="s">
        <v>15</v>
      </c>
      <c r="F109" s="6" t="s">
        <v>57</v>
      </c>
      <c r="G109" s="10">
        <v>42509</v>
      </c>
      <c r="H109" s="8">
        <v>189.39</v>
      </c>
      <c r="I109" s="8">
        <f>189.39/365</f>
        <v>0.51887671232876709</v>
      </c>
      <c r="J109" s="8">
        <v>24.8</v>
      </c>
      <c r="K109" s="8">
        <v>0</v>
      </c>
      <c r="L109" s="8">
        <v>0</v>
      </c>
      <c r="M109" s="8">
        <v>0</v>
      </c>
      <c r="N109" s="8">
        <f t="shared" si="18"/>
        <v>-0.51887671232876709</v>
      </c>
      <c r="O109" s="8">
        <v>0</v>
      </c>
      <c r="P109" s="8">
        <v>0</v>
      </c>
      <c r="Q109" s="8">
        <v>0</v>
      </c>
      <c r="R109" s="8">
        <v>0</v>
      </c>
      <c r="S109" s="8">
        <v>0</v>
      </c>
      <c r="T109" s="8">
        <v>0</v>
      </c>
      <c r="U109" s="8">
        <f t="shared" si="19"/>
        <v>0</v>
      </c>
      <c r="V109" s="8">
        <v>189.39</v>
      </c>
      <c r="W109" s="8">
        <f>189.39/365</f>
        <v>0.51887671232876709</v>
      </c>
      <c r="X109" s="8">
        <v>24.8</v>
      </c>
      <c r="Y109" s="8">
        <v>0</v>
      </c>
      <c r="Z109" s="8">
        <v>0</v>
      </c>
      <c r="AA109" s="8">
        <v>0</v>
      </c>
      <c r="AB109" s="8">
        <f t="shared" si="20"/>
        <v>-0.51887671232876709</v>
      </c>
      <c r="AC109" s="8">
        <v>0</v>
      </c>
      <c r="AD109" s="8">
        <v>0</v>
      </c>
      <c r="AE109" s="8">
        <v>0</v>
      </c>
      <c r="AF109" s="8">
        <v>0</v>
      </c>
      <c r="AG109" s="8">
        <v>0</v>
      </c>
      <c r="AH109" s="8">
        <v>0</v>
      </c>
      <c r="AI109" s="8">
        <f t="shared" si="21"/>
        <v>0</v>
      </c>
      <c r="AJ109" s="8">
        <v>0</v>
      </c>
      <c r="AK109" s="8">
        <v>0</v>
      </c>
      <c r="AL109" s="8">
        <v>0</v>
      </c>
      <c r="AM109" s="8">
        <v>0</v>
      </c>
      <c r="AN109" s="8">
        <v>0</v>
      </c>
      <c r="AO109" s="8">
        <v>0</v>
      </c>
      <c r="AP109" s="8">
        <f t="shared" si="22"/>
        <v>0</v>
      </c>
      <c r="AQ109" s="8">
        <v>0</v>
      </c>
      <c r="AR109" s="8">
        <v>0</v>
      </c>
      <c r="AS109" s="8">
        <v>0</v>
      </c>
      <c r="AT109" s="8">
        <v>0</v>
      </c>
      <c r="AU109" s="8">
        <v>0</v>
      </c>
      <c r="AV109" s="8">
        <v>0</v>
      </c>
      <c r="AW109" s="8">
        <f t="shared" si="23"/>
        <v>0</v>
      </c>
      <c r="AX109" s="7">
        <v>0</v>
      </c>
      <c r="AY109" s="7">
        <v>0</v>
      </c>
      <c r="AZ109" s="6" t="s">
        <v>390</v>
      </c>
      <c r="BA109" s="6" t="s">
        <v>395</v>
      </c>
    </row>
    <row r="110" spans="1:53">
      <c r="A110" s="35" t="s">
        <v>55</v>
      </c>
      <c r="B110" s="15" t="s">
        <v>406</v>
      </c>
      <c r="C110" s="35" t="s">
        <v>407</v>
      </c>
      <c r="D110" s="6" t="s">
        <v>408</v>
      </c>
      <c r="E110" s="6" t="s">
        <v>15</v>
      </c>
      <c r="F110" s="6" t="s">
        <v>58</v>
      </c>
      <c r="G110" s="10">
        <v>42513</v>
      </c>
      <c r="H110" s="8">
        <v>0</v>
      </c>
      <c r="I110" s="8">
        <v>0</v>
      </c>
      <c r="J110" s="8">
        <v>0</v>
      </c>
      <c r="K110" s="8">
        <v>2.79</v>
      </c>
      <c r="L110" s="8">
        <f>2.79/365</f>
        <v>7.643835616438356E-3</v>
      </c>
      <c r="M110" s="8">
        <v>0.36</v>
      </c>
      <c r="N110" s="8">
        <f t="shared" si="18"/>
        <v>7.643835616438356E-3</v>
      </c>
      <c r="O110" s="8">
        <v>0</v>
      </c>
      <c r="P110" s="8">
        <v>0</v>
      </c>
      <c r="Q110" s="8">
        <v>0</v>
      </c>
      <c r="R110" s="8">
        <v>0</v>
      </c>
      <c r="S110" s="8">
        <v>0</v>
      </c>
      <c r="T110" s="8">
        <v>0</v>
      </c>
      <c r="U110" s="8">
        <f t="shared" si="19"/>
        <v>0</v>
      </c>
      <c r="V110" s="8">
        <v>0</v>
      </c>
      <c r="W110" s="8">
        <v>0</v>
      </c>
      <c r="X110" s="8">
        <v>0</v>
      </c>
      <c r="Y110" s="8">
        <v>2.79</v>
      </c>
      <c r="Z110" s="8">
        <v>8.0000000000000002E-3</v>
      </c>
      <c r="AA110" s="8">
        <v>0.35</v>
      </c>
      <c r="AB110" s="8">
        <f t="shared" si="20"/>
        <v>8.0000000000000002E-3</v>
      </c>
      <c r="AC110" s="8">
        <v>0</v>
      </c>
      <c r="AD110" s="8">
        <v>0</v>
      </c>
      <c r="AE110" s="8">
        <v>0</v>
      </c>
      <c r="AF110" s="8">
        <v>0</v>
      </c>
      <c r="AG110" s="8">
        <v>0</v>
      </c>
      <c r="AH110" s="8">
        <v>0</v>
      </c>
      <c r="AI110" s="8">
        <f t="shared" si="21"/>
        <v>0</v>
      </c>
      <c r="AJ110" s="8">
        <v>0</v>
      </c>
      <c r="AK110" s="8">
        <v>0</v>
      </c>
      <c r="AL110" s="8">
        <v>0</v>
      </c>
      <c r="AM110" s="8">
        <v>0</v>
      </c>
      <c r="AN110" s="8">
        <v>0</v>
      </c>
      <c r="AO110" s="8">
        <v>0</v>
      </c>
      <c r="AP110" s="8">
        <f t="shared" si="22"/>
        <v>0</v>
      </c>
      <c r="AQ110" s="8">
        <v>0</v>
      </c>
      <c r="AR110" s="8">
        <v>0</v>
      </c>
      <c r="AS110" s="8">
        <v>0</v>
      </c>
      <c r="AT110" s="8">
        <v>0</v>
      </c>
      <c r="AU110" s="8">
        <v>0</v>
      </c>
      <c r="AV110" s="8">
        <v>0</v>
      </c>
      <c r="AW110" s="8">
        <f t="shared" si="23"/>
        <v>0</v>
      </c>
      <c r="AX110" s="35">
        <v>20</v>
      </c>
      <c r="AY110" s="7">
        <v>20</v>
      </c>
      <c r="AZ110" s="6"/>
      <c r="BA110" s="6" t="s">
        <v>73</v>
      </c>
    </row>
    <row r="111" spans="1:53">
      <c r="A111" s="7" t="s">
        <v>55</v>
      </c>
      <c r="B111" s="15" t="s">
        <v>49</v>
      </c>
      <c r="C111" s="24" t="s">
        <v>66</v>
      </c>
      <c r="D111" s="15" t="s">
        <v>37</v>
      </c>
      <c r="E111" s="6" t="s">
        <v>15</v>
      </c>
      <c r="F111" s="6" t="s">
        <v>56</v>
      </c>
      <c r="G111" s="10">
        <v>42521</v>
      </c>
      <c r="H111" s="8">
        <v>0</v>
      </c>
      <c r="I111" s="8">
        <v>0</v>
      </c>
      <c r="J111" s="8">
        <v>0</v>
      </c>
      <c r="K111" s="8">
        <v>0.47</v>
      </c>
      <c r="L111" s="8">
        <f>0.47/365</f>
        <v>1.2876712328767123E-3</v>
      </c>
      <c r="M111" s="8">
        <v>0.04</v>
      </c>
      <c r="N111" s="8">
        <f t="shared" si="18"/>
        <v>1.2876712328767123E-3</v>
      </c>
      <c r="O111" s="8">
        <v>0</v>
      </c>
      <c r="P111" s="8">
        <v>0</v>
      </c>
      <c r="Q111" s="8">
        <v>0</v>
      </c>
      <c r="R111" s="8">
        <v>0</v>
      </c>
      <c r="S111" s="8">
        <v>0</v>
      </c>
      <c r="T111" s="8">
        <v>0</v>
      </c>
      <c r="U111" s="8">
        <f t="shared" si="19"/>
        <v>0</v>
      </c>
      <c r="V111" s="8">
        <v>0</v>
      </c>
      <c r="W111" s="8">
        <v>0</v>
      </c>
      <c r="X111" s="8">
        <v>0</v>
      </c>
      <c r="Y111" s="8">
        <v>0.47</v>
      </c>
      <c r="Z111" s="8">
        <f>0.47/365</f>
        <v>1.2876712328767123E-3</v>
      </c>
      <c r="AA111" s="8">
        <v>0.04</v>
      </c>
      <c r="AB111" s="8">
        <f t="shared" si="20"/>
        <v>1.2876712328767123E-3</v>
      </c>
      <c r="AC111" s="8">
        <v>0</v>
      </c>
      <c r="AD111" s="8">
        <v>0</v>
      </c>
      <c r="AE111" s="8">
        <v>0</v>
      </c>
      <c r="AF111" s="8">
        <v>0</v>
      </c>
      <c r="AG111" s="8">
        <v>0</v>
      </c>
      <c r="AH111" s="8">
        <v>0</v>
      </c>
      <c r="AI111" s="8">
        <f t="shared" si="21"/>
        <v>0</v>
      </c>
      <c r="AJ111" s="8">
        <v>0</v>
      </c>
      <c r="AK111" s="8">
        <v>0</v>
      </c>
      <c r="AL111" s="8">
        <v>0</v>
      </c>
      <c r="AM111" s="8">
        <v>0</v>
      </c>
      <c r="AN111" s="8">
        <v>0</v>
      </c>
      <c r="AO111" s="8">
        <v>0</v>
      </c>
      <c r="AP111" s="8">
        <f t="shared" si="22"/>
        <v>0</v>
      </c>
      <c r="AQ111" s="8">
        <v>0</v>
      </c>
      <c r="AR111" s="8">
        <v>0</v>
      </c>
      <c r="AS111" s="8">
        <v>0</v>
      </c>
      <c r="AT111" s="8">
        <v>0</v>
      </c>
      <c r="AU111" s="8">
        <v>0</v>
      </c>
      <c r="AV111" s="8">
        <v>0</v>
      </c>
      <c r="AW111" s="8">
        <f t="shared" si="23"/>
        <v>0</v>
      </c>
      <c r="AX111" s="29">
        <v>20</v>
      </c>
      <c r="AY111" s="29">
        <v>20</v>
      </c>
      <c r="AZ111" s="6"/>
      <c r="BA111" s="6" t="s">
        <v>73</v>
      </c>
    </row>
    <row r="112" spans="1:53">
      <c r="A112" s="7" t="s">
        <v>55</v>
      </c>
      <c r="B112" s="15" t="s">
        <v>54</v>
      </c>
      <c r="C112" s="12" t="s">
        <v>71</v>
      </c>
      <c r="D112" s="15" t="s">
        <v>42</v>
      </c>
      <c r="E112" s="6" t="s">
        <v>15</v>
      </c>
      <c r="F112" s="6" t="s">
        <v>56</v>
      </c>
      <c r="G112" s="10">
        <v>42524</v>
      </c>
      <c r="H112" s="8">
        <v>4.38</v>
      </c>
      <c r="I112" s="8">
        <v>1.2E-2</v>
      </c>
      <c r="J112" s="8">
        <v>0.74399999999999999</v>
      </c>
      <c r="K112" s="8">
        <v>4.38</v>
      </c>
      <c r="L112" s="8">
        <v>1.2E-2</v>
      </c>
      <c r="M112" s="8">
        <v>0.74399999999999999</v>
      </c>
      <c r="N112" s="8">
        <f t="shared" si="18"/>
        <v>0</v>
      </c>
      <c r="O112" s="8">
        <v>0</v>
      </c>
      <c r="P112" s="8">
        <v>0</v>
      </c>
      <c r="Q112" s="8">
        <v>0</v>
      </c>
      <c r="R112" s="8">
        <v>0</v>
      </c>
      <c r="S112" s="8">
        <v>0</v>
      </c>
      <c r="T112" s="8">
        <v>0</v>
      </c>
      <c r="U112" s="8">
        <f t="shared" si="19"/>
        <v>0</v>
      </c>
      <c r="V112" s="8">
        <v>4.38</v>
      </c>
      <c r="W112" s="8">
        <v>1.2E-2</v>
      </c>
      <c r="X112" s="8">
        <v>0.74399999999999999</v>
      </c>
      <c r="Y112" s="8">
        <v>4.38</v>
      </c>
      <c r="Z112" s="8">
        <v>1.2E-2</v>
      </c>
      <c r="AA112" s="8">
        <v>0.74399999999999999</v>
      </c>
      <c r="AB112" s="8">
        <f t="shared" si="20"/>
        <v>0</v>
      </c>
      <c r="AC112" s="8">
        <v>0</v>
      </c>
      <c r="AD112" s="8">
        <v>0</v>
      </c>
      <c r="AE112" s="8">
        <v>0</v>
      </c>
      <c r="AF112" s="8">
        <v>0</v>
      </c>
      <c r="AG112" s="8">
        <v>0</v>
      </c>
      <c r="AH112" s="8">
        <v>0</v>
      </c>
      <c r="AI112" s="8">
        <f t="shared" si="21"/>
        <v>0</v>
      </c>
      <c r="AJ112" s="8">
        <v>0</v>
      </c>
      <c r="AK112" s="8">
        <v>0</v>
      </c>
      <c r="AL112" s="8">
        <v>0</v>
      </c>
      <c r="AM112" s="8">
        <v>0</v>
      </c>
      <c r="AN112" s="8">
        <v>0</v>
      </c>
      <c r="AO112" s="8">
        <v>0</v>
      </c>
      <c r="AP112" s="8">
        <f t="shared" si="22"/>
        <v>0</v>
      </c>
      <c r="AQ112" s="8">
        <v>0</v>
      </c>
      <c r="AR112" s="8">
        <v>0</v>
      </c>
      <c r="AS112" s="8">
        <v>0</v>
      </c>
      <c r="AT112" s="8">
        <v>0</v>
      </c>
      <c r="AU112" s="8">
        <v>0</v>
      </c>
      <c r="AV112" s="8">
        <v>0</v>
      </c>
      <c r="AW112" s="8">
        <f t="shared" si="23"/>
        <v>0</v>
      </c>
      <c r="AX112" s="7">
        <v>20</v>
      </c>
      <c r="AY112" s="7">
        <v>20</v>
      </c>
      <c r="AZ112" s="6"/>
      <c r="BA112" s="6" t="s">
        <v>73</v>
      </c>
    </row>
    <row r="113" spans="1:53">
      <c r="A113" s="7" t="s">
        <v>55</v>
      </c>
      <c r="B113" s="15" t="s">
        <v>266</v>
      </c>
      <c r="C113" s="24" t="s">
        <v>268</v>
      </c>
      <c r="D113" s="13" t="s">
        <v>267</v>
      </c>
      <c r="E113" s="6" t="s">
        <v>15</v>
      </c>
      <c r="F113" s="6" t="s">
        <v>59</v>
      </c>
      <c r="G113" s="10">
        <v>42527</v>
      </c>
      <c r="H113" s="8">
        <v>108.23</v>
      </c>
      <c r="I113" s="8">
        <f>108.23/365</f>
        <v>0.29652054794520549</v>
      </c>
      <c r="J113" s="8">
        <v>19.190000000000001</v>
      </c>
      <c r="K113" s="8">
        <v>99.8</v>
      </c>
      <c r="L113" s="8">
        <f>99.8/365</f>
        <v>0.27342465753424655</v>
      </c>
      <c r="M113" s="8">
        <v>19.05</v>
      </c>
      <c r="N113" s="8">
        <f t="shared" si="18"/>
        <v>-2.3095890410958941E-2</v>
      </c>
      <c r="O113" s="8">
        <v>0</v>
      </c>
      <c r="P113" s="8">
        <v>0</v>
      </c>
      <c r="Q113" s="8">
        <v>0</v>
      </c>
      <c r="R113" s="8">
        <v>0</v>
      </c>
      <c r="S113" s="8">
        <v>0</v>
      </c>
      <c r="T113" s="8">
        <v>0</v>
      </c>
      <c r="U113" s="8">
        <f t="shared" si="19"/>
        <v>0</v>
      </c>
      <c r="V113" s="8">
        <v>108.23</v>
      </c>
      <c r="W113" s="8">
        <f>108.23/365</f>
        <v>0.29652054794520549</v>
      </c>
      <c r="X113" s="8">
        <v>19.190000000000001</v>
      </c>
      <c r="Y113" s="8">
        <v>99.8</v>
      </c>
      <c r="Z113" s="8">
        <f>99.8/365</f>
        <v>0.27342465753424655</v>
      </c>
      <c r="AA113" s="8">
        <v>19.05</v>
      </c>
      <c r="AB113" s="8">
        <f t="shared" si="20"/>
        <v>-2.3095890410958941E-2</v>
      </c>
      <c r="AC113" s="8">
        <v>0</v>
      </c>
      <c r="AD113" s="8">
        <v>0</v>
      </c>
      <c r="AE113" s="8">
        <v>0</v>
      </c>
      <c r="AF113" s="8">
        <v>0</v>
      </c>
      <c r="AG113" s="8">
        <v>0</v>
      </c>
      <c r="AH113" s="8">
        <v>0</v>
      </c>
      <c r="AI113" s="8">
        <f t="shared" si="21"/>
        <v>0</v>
      </c>
      <c r="AJ113" s="8">
        <v>0</v>
      </c>
      <c r="AK113" s="8">
        <v>0</v>
      </c>
      <c r="AL113" s="8">
        <v>0</v>
      </c>
      <c r="AM113" s="8">
        <v>0</v>
      </c>
      <c r="AN113" s="8">
        <v>0</v>
      </c>
      <c r="AO113" s="8">
        <v>0</v>
      </c>
      <c r="AP113" s="8">
        <f t="shared" si="22"/>
        <v>0</v>
      </c>
      <c r="AQ113" s="8">
        <v>0</v>
      </c>
      <c r="AR113" s="8">
        <v>0</v>
      </c>
      <c r="AS113" s="8">
        <v>0</v>
      </c>
      <c r="AT113" s="8">
        <v>0</v>
      </c>
      <c r="AU113" s="8">
        <v>0</v>
      </c>
      <c r="AV113" s="8">
        <v>0</v>
      </c>
      <c r="AW113" s="8">
        <f t="shared" si="23"/>
        <v>0</v>
      </c>
      <c r="AX113" s="29">
        <v>20</v>
      </c>
      <c r="AY113" s="29">
        <v>20</v>
      </c>
      <c r="AZ113" s="6"/>
      <c r="BA113" s="6" t="s">
        <v>73</v>
      </c>
    </row>
    <row r="114" spans="1:53">
      <c r="A114" s="35" t="s">
        <v>55</v>
      </c>
      <c r="B114" s="15" t="s">
        <v>421</v>
      </c>
      <c r="C114" s="35" t="s">
        <v>424</v>
      </c>
      <c r="D114" s="6" t="s">
        <v>422</v>
      </c>
      <c r="E114" s="6" t="s">
        <v>15</v>
      </c>
      <c r="F114" s="6" t="s">
        <v>92</v>
      </c>
      <c r="G114" s="10">
        <v>42536</v>
      </c>
      <c r="H114" s="8">
        <v>0</v>
      </c>
      <c r="I114" s="8">
        <v>0</v>
      </c>
      <c r="J114" s="8">
        <v>0</v>
      </c>
      <c r="K114" s="8">
        <v>1.97</v>
      </c>
      <c r="L114" s="8">
        <v>5.4000000000000003E-3</v>
      </c>
      <c r="M114" s="8">
        <v>0.16</v>
      </c>
      <c r="N114" s="8">
        <f t="shared" si="18"/>
        <v>5.4000000000000003E-3</v>
      </c>
      <c r="O114" s="8">
        <v>0</v>
      </c>
      <c r="P114" s="8">
        <v>0</v>
      </c>
      <c r="Q114" s="8">
        <v>0</v>
      </c>
      <c r="R114" s="8">
        <v>0</v>
      </c>
      <c r="S114" s="8">
        <v>0</v>
      </c>
      <c r="T114" s="8">
        <v>0</v>
      </c>
      <c r="U114" s="8">
        <f t="shared" si="19"/>
        <v>0</v>
      </c>
      <c r="V114" s="8">
        <v>0</v>
      </c>
      <c r="W114" s="8">
        <v>0</v>
      </c>
      <c r="X114" s="8">
        <v>0</v>
      </c>
      <c r="Y114" s="8">
        <v>1.97</v>
      </c>
      <c r="Z114" s="8">
        <v>5.4000000000000003E-3</v>
      </c>
      <c r="AA114" s="8">
        <v>0.16</v>
      </c>
      <c r="AB114" s="8">
        <f t="shared" si="20"/>
        <v>5.4000000000000003E-3</v>
      </c>
      <c r="AC114" s="8">
        <v>0</v>
      </c>
      <c r="AD114" s="8">
        <v>0</v>
      </c>
      <c r="AE114" s="8">
        <v>0</v>
      </c>
      <c r="AF114" s="8">
        <v>0</v>
      </c>
      <c r="AG114" s="8">
        <v>0</v>
      </c>
      <c r="AH114" s="8">
        <v>0</v>
      </c>
      <c r="AI114" s="8">
        <f t="shared" si="21"/>
        <v>0</v>
      </c>
      <c r="AJ114" s="8">
        <v>0</v>
      </c>
      <c r="AK114" s="8">
        <v>0</v>
      </c>
      <c r="AL114" s="8">
        <v>0</v>
      </c>
      <c r="AM114" s="8">
        <v>0</v>
      </c>
      <c r="AN114" s="8">
        <v>0</v>
      </c>
      <c r="AO114" s="8">
        <v>0</v>
      </c>
      <c r="AP114" s="8">
        <f t="shared" si="22"/>
        <v>0</v>
      </c>
      <c r="AQ114" s="8">
        <v>0</v>
      </c>
      <c r="AR114" s="8">
        <v>0</v>
      </c>
      <c r="AS114" s="8">
        <v>0</v>
      </c>
      <c r="AT114" s="8">
        <v>0</v>
      </c>
      <c r="AU114" s="8">
        <v>0</v>
      </c>
      <c r="AV114" s="8">
        <v>0</v>
      </c>
      <c r="AW114" s="8">
        <f t="shared" si="23"/>
        <v>0</v>
      </c>
      <c r="AX114" s="35">
        <v>20</v>
      </c>
      <c r="AY114" s="29">
        <v>6</v>
      </c>
      <c r="AZ114" s="6" t="s">
        <v>423</v>
      </c>
      <c r="BA114" s="6" t="s">
        <v>73</v>
      </c>
    </row>
    <row r="115" spans="1:53" ht="30">
      <c r="A115" s="7" t="s">
        <v>55</v>
      </c>
      <c r="B115" s="14" t="s">
        <v>43</v>
      </c>
      <c r="C115" s="26" t="s">
        <v>269</v>
      </c>
      <c r="D115" s="17" t="s">
        <v>31</v>
      </c>
      <c r="E115" s="6" t="s">
        <v>155</v>
      </c>
      <c r="F115" s="6" t="s">
        <v>56</v>
      </c>
      <c r="G115" s="7" t="s">
        <v>79</v>
      </c>
      <c r="H115" s="8">
        <v>0</v>
      </c>
      <c r="I115" s="8">
        <v>0</v>
      </c>
      <c r="J115" s="8">
        <v>0</v>
      </c>
      <c r="K115" s="8">
        <v>0</v>
      </c>
      <c r="L115" s="8">
        <v>0</v>
      </c>
      <c r="M115" s="8">
        <v>0</v>
      </c>
      <c r="N115" s="8">
        <f t="shared" si="18"/>
        <v>0</v>
      </c>
      <c r="O115" s="8">
        <v>0</v>
      </c>
      <c r="P115" s="8">
        <v>0</v>
      </c>
      <c r="Q115" s="8">
        <v>0</v>
      </c>
      <c r="R115" s="8">
        <v>0</v>
      </c>
      <c r="S115" s="8">
        <v>0</v>
      </c>
      <c r="T115" s="8">
        <v>0</v>
      </c>
      <c r="U115" s="8">
        <f t="shared" si="19"/>
        <v>0</v>
      </c>
      <c r="V115" s="8">
        <v>0</v>
      </c>
      <c r="W115" s="8">
        <v>0</v>
      </c>
      <c r="X115" s="8">
        <v>0</v>
      </c>
      <c r="Y115" s="8">
        <v>0</v>
      </c>
      <c r="Z115" s="8">
        <v>0</v>
      </c>
      <c r="AA115" s="8">
        <v>0</v>
      </c>
      <c r="AB115" s="8">
        <f t="shared" si="20"/>
        <v>0</v>
      </c>
      <c r="AC115" s="8">
        <v>0</v>
      </c>
      <c r="AD115" s="8">
        <v>0</v>
      </c>
      <c r="AE115" s="8">
        <v>0</v>
      </c>
      <c r="AF115" s="8">
        <v>0</v>
      </c>
      <c r="AG115" s="8">
        <v>0</v>
      </c>
      <c r="AH115" s="8">
        <v>0</v>
      </c>
      <c r="AI115" s="8">
        <f t="shared" si="21"/>
        <v>0</v>
      </c>
      <c r="AJ115" s="8">
        <v>0</v>
      </c>
      <c r="AK115" s="8">
        <v>0</v>
      </c>
      <c r="AL115" s="8">
        <v>0</v>
      </c>
      <c r="AM115" s="8">
        <v>0</v>
      </c>
      <c r="AN115" s="8">
        <v>0</v>
      </c>
      <c r="AO115" s="8">
        <v>0</v>
      </c>
      <c r="AP115" s="8">
        <f t="shared" si="22"/>
        <v>0</v>
      </c>
      <c r="AQ115" s="8">
        <v>0</v>
      </c>
      <c r="AR115" s="8">
        <v>0</v>
      </c>
      <c r="AS115" s="8">
        <v>0</v>
      </c>
      <c r="AT115" s="8">
        <v>2190</v>
      </c>
      <c r="AU115" s="8">
        <v>6</v>
      </c>
      <c r="AV115" s="8">
        <v>600</v>
      </c>
      <c r="AW115" s="8">
        <f t="shared" si="23"/>
        <v>6</v>
      </c>
      <c r="AX115" s="29">
        <v>20</v>
      </c>
      <c r="AY115" s="29">
        <v>20</v>
      </c>
      <c r="AZ115" s="6" t="s">
        <v>415</v>
      </c>
      <c r="BA115" s="6" t="s">
        <v>72</v>
      </c>
    </row>
    <row r="116" spans="1:53">
      <c r="A116" s="7" t="s">
        <v>55</v>
      </c>
      <c r="B116" s="15" t="s">
        <v>44</v>
      </c>
      <c r="C116" s="24" t="s">
        <v>61</v>
      </c>
      <c r="D116" s="15" t="s">
        <v>32</v>
      </c>
      <c r="E116" s="6" t="s">
        <v>15</v>
      </c>
      <c r="F116" s="6" t="s">
        <v>58</v>
      </c>
      <c r="G116" s="10" t="s">
        <v>79</v>
      </c>
      <c r="H116" s="8">
        <v>167.32</v>
      </c>
      <c r="I116" s="8">
        <f>167.32/365</f>
        <v>0.45841095890410954</v>
      </c>
      <c r="J116" s="8">
        <v>22.26</v>
      </c>
      <c r="K116" s="8">
        <v>29.9</v>
      </c>
      <c r="L116" s="8">
        <f>29.9/365</f>
        <v>8.1917808219178073E-2</v>
      </c>
      <c r="M116" s="8">
        <v>3.98</v>
      </c>
      <c r="N116" s="8">
        <f t="shared" si="18"/>
        <v>-0.3764931506849315</v>
      </c>
      <c r="O116" s="8">
        <v>0</v>
      </c>
      <c r="P116" s="8">
        <v>0</v>
      </c>
      <c r="Q116" s="8">
        <v>0</v>
      </c>
      <c r="R116" s="8">
        <v>0</v>
      </c>
      <c r="S116" s="8">
        <v>0</v>
      </c>
      <c r="T116" s="8">
        <v>0</v>
      </c>
      <c r="U116" s="8">
        <f t="shared" si="19"/>
        <v>0</v>
      </c>
      <c r="V116" s="8">
        <v>167.32</v>
      </c>
      <c r="W116" s="8">
        <f>167.32/365</f>
        <v>0.45841095890410954</v>
      </c>
      <c r="X116" s="8">
        <v>22.26</v>
      </c>
      <c r="Y116" s="8">
        <v>29.9</v>
      </c>
      <c r="Z116" s="8">
        <f>29.9/365</f>
        <v>8.1917808219178073E-2</v>
      </c>
      <c r="AA116" s="8">
        <v>3.98</v>
      </c>
      <c r="AB116" s="8">
        <f t="shared" si="20"/>
        <v>-0.3764931506849315</v>
      </c>
      <c r="AC116" s="8">
        <v>0</v>
      </c>
      <c r="AD116" s="8">
        <v>0</v>
      </c>
      <c r="AE116" s="8">
        <v>0</v>
      </c>
      <c r="AF116" s="8">
        <v>0</v>
      </c>
      <c r="AG116" s="8">
        <v>0</v>
      </c>
      <c r="AH116" s="8">
        <v>0</v>
      </c>
      <c r="AI116" s="8">
        <f t="shared" si="21"/>
        <v>0</v>
      </c>
      <c r="AJ116" s="8">
        <v>0</v>
      </c>
      <c r="AK116" s="8">
        <v>0</v>
      </c>
      <c r="AL116" s="8">
        <v>0</v>
      </c>
      <c r="AM116" s="8">
        <v>0</v>
      </c>
      <c r="AN116" s="8">
        <v>0</v>
      </c>
      <c r="AO116" s="8">
        <v>0</v>
      </c>
      <c r="AP116" s="8">
        <f t="shared" si="22"/>
        <v>0</v>
      </c>
      <c r="AQ116" s="8">
        <v>0</v>
      </c>
      <c r="AR116" s="8">
        <v>0</v>
      </c>
      <c r="AS116" s="8">
        <v>0</v>
      </c>
      <c r="AT116" s="8">
        <v>0</v>
      </c>
      <c r="AU116" s="8">
        <v>0</v>
      </c>
      <c r="AV116" s="8">
        <v>0</v>
      </c>
      <c r="AW116" s="8">
        <f t="shared" si="23"/>
        <v>0</v>
      </c>
      <c r="AX116" s="29">
        <v>20</v>
      </c>
      <c r="AY116" s="29">
        <v>20</v>
      </c>
      <c r="AZ116" s="6"/>
      <c r="BA116" s="6" t="s">
        <v>74</v>
      </c>
    </row>
    <row r="117" spans="1:53">
      <c r="A117" s="7" t="s">
        <v>55</v>
      </c>
      <c r="B117" s="15" t="s">
        <v>48</v>
      </c>
      <c r="C117" s="12" t="s">
        <v>65</v>
      </c>
      <c r="D117" s="15" t="s">
        <v>36</v>
      </c>
      <c r="E117" s="6" t="s">
        <v>15</v>
      </c>
      <c r="F117" s="6" t="s">
        <v>58</v>
      </c>
      <c r="G117" s="7" t="s">
        <v>79</v>
      </c>
      <c r="H117" s="8">
        <v>534.02</v>
      </c>
      <c r="I117" s="8">
        <f>534.02/365</f>
        <v>1.463068493150685</v>
      </c>
      <c r="J117" s="8">
        <v>69.63</v>
      </c>
      <c r="K117" s="8">
        <v>66.2</v>
      </c>
      <c r="L117" s="8">
        <f>66.2/365</f>
        <v>0.18136986301369865</v>
      </c>
      <c r="M117" s="8">
        <v>66.2</v>
      </c>
      <c r="N117" s="8">
        <f t="shared" si="18"/>
        <v>-1.2816986301369864</v>
      </c>
      <c r="O117" s="8">
        <v>0</v>
      </c>
      <c r="P117" s="8">
        <v>0</v>
      </c>
      <c r="Q117" s="8">
        <v>0</v>
      </c>
      <c r="R117" s="8">
        <v>0</v>
      </c>
      <c r="S117" s="8">
        <v>0</v>
      </c>
      <c r="T117" s="8">
        <v>0</v>
      </c>
      <c r="U117" s="8">
        <f t="shared" si="19"/>
        <v>0</v>
      </c>
      <c r="V117" s="8">
        <v>534.02</v>
      </c>
      <c r="W117" s="8">
        <f>534.02/365</f>
        <v>1.463068493150685</v>
      </c>
      <c r="X117" s="8">
        <v>69.63</v>
      </c>
      <c r="Y117" s="37">
        <v>66.2</v>
      </c>
      <c r="Z117" s="37">
        <f>66.2/365</f>
        <v>0.18136986301369865</v>
      </c>
      <c r="AA117" s="37">
        <v>66.2</v>
      </c>
      <c r="AB117" s="8">
        <f t="shared" si="20"/>
        <v>-1.2816986301369864</v>
      </c>
      <c r="AC117" s="8">
        <v>0</v>
      </c>
      <c r="AD117" s="8">
        <v>0</v>
      </c>
      <c r="AE117" s="8">
        <v>0</v>
      </c>
      <c r="AF117" s="8">
        <v>0</v>
      </c>
      <c r="AG117" s="8">
        <v>0</v>
      </c>
      <c r="AH117" s="8">
        <v>0</v>
      </c>
      <c r="AI117" s="8">
        <f t="shared" si="21"/>
        <v>0</v>
      </c>
      <c r="AJ117" s="8">
        <v>0</v>
      </c>
      <c r="AK117" s="8">
        <v>0</v>
      </c>
      <c r="AL117" s="8">
        <v>0</v>
      </c>
      <c r="AM117" s="8">
        <v>0</v>
      </c>
      <c r="AN117" s="8">
        <v>0</v>
      </c>
      <c r="AO117" s="8">
        <v>0</v>
      </c>
      <c r="AP117" s="8">
        <f t="shared" si="22"/>
        <v>0</v>
      </c>
      <c r="AQ117" s="8">
        <v>0</v>
      </c>
      <c r="AR117" s="8">
        <v>0</v>
      </c>
      <c r="AS117" s="8">
        <v>0</v>
      </c>
      <c r="AT117" s="8">
        <v>0</v>
      </c>
      <c r="AU117" s="8">
        <v>0</v>
      </c>
      <c r="AV117" s="8">
        <v>0</v>
      </c>
      <c r="AW117" s="8">
        <f t="shared" si="23"/>
        <v>0</v>
      </c>
      <c r="AX117" s="7">
        <v>20</v>
      </c>
      <c r="AY117" s="7">
        <v>20</v>
      </c>
      <c r="AZ117" s="6"/>
      <c r="BA117" s="6" t="s">
        <v>420</v>
      </c>
    </row>
    <row r="118" spans="1:53">
      <c r="A118" s="7" t="s">
        <v>55</v>
      </c>
      <c r="B118" s="15" t="s">
        <v>52</v>
      </c>
      <c r="C118" s="12" t="s">
        <v>69</v>
      </c>
      <c r="D118" s="15" t="s">
        <v>40</v>
      </c>
      <c r="E118" s="6" t="s">
        <v>15</v>
      </c>
      <c r="F118" s="6" t="s">
        <v>56</v>
      </c>
      <c r="G118" s="7" t="s">
        <v>79</v>
      </c>
      <c r="H118" s="8">
        <v>239.04</v>
      </c>
      <c r="I118" s="8">
        <f>239.04/365</f>
        <v>0.65490410958904111</v>
      </c>
      <c r="J118" s="8">
        <v>27.27</v>
      </c>
      <c r="K118" s="8">
        <v>239.04</v>
      </c>
      <c r="L118" s="8">
        <f>239.04/365</f>
        <v>0.65490410958904111</v>
      </c>
      <c r="M118" s="8">
        <v>27.27</v>
      </c>
      <c r="N118" s="8">
        <f t="shared" si="18"/>
        <v>0</v>
      </c>
      <c r="O118" s="8">
        <v>0</v>
      </c>
      <c r="P118" s="8">
        <v>0</v>
      </c>
      <c r="Q118" s="8">
        <v>0</v>
      </c>
      <c r="R118" s="8">
        <v>0</v>
      </c>
      <c r="S118" s="8">
        <v>0</v>
      </c>
      <c r="T118" s="8">
        <v>0</v>
      </c>
      <c r="U118" s="8">
        <f t="shared" si="19"/>
        <v>0</v>
      </c>
      <c r="V118" s="8">
        <v>239.04</v>
      </c>
      <c r="W118" s="8">
        <f>239.04/365</f>
        <v>0.65490410958904111</v>
      </c>
      <c r="X118" s="8">
        <v>27.27</v>
      </c>
      <c r="Y118" s="8">
        <v>239.04</v>
      </c>
      <c r="Z118" s="8">
        <f>239.04/365</f>
        <v>0.65490410958904111</v>
      </c>
      <c r="AA118" s="8">
        <v>27.27</v>
      </c>
      <c r="AB118" s="8">
        <f t="shared" si="20"/>
        <v>0</v>
      </c>
      <c r="AC118" s="8">
        <v>0</v>
      </c>
      <c r="AD118" s="8">
        <v>0</v>
      </c>
      <c r="AE118" s="8">
        <v>0</v>
      </c>
      <c r="AF118" s="8">
        <v>0</v>
      </c>
      <c r="AG118" s="8">
        <v>0</v>
      </c>
      <c r="AH118" s="8">
        <v>0</v>
      </c>
      <c r="AI118" s="8">
        <f t="shared" si="21"/>
        <v>0</v>
      </c>
      <c r="AJ118" s="8">
        <v>0</v>
      </c>
      <c r="AK118" s="8">
        <v>0</v>
      </c>
      <c r="AL118" s="8">
        <v>0</v>
      </c>
      <c r="AM118" s="8">
        <v>0</v>
      </c>
      <c r="AN118" s="8">
        <v>0</v>
      </c>
      <c r="AO118" s="8">
        <v>0</v>
      </c>
      <c r="AP118" s="8">
        <f t="shared" si="22"/>
        <v>0</v>
      </c>
      <c r="AQ118" s="8">
        <v>0</v>
      </c>
      <c r="AR118" s="8">
        <v>0</v>
      </c>
      <c r="AS118" s="8">
        <v>0</v>
      </c>
      <c r="AT118" s="8">
        <v>0</v>
      </c>
      <c r="AU118" s="8">
        <v>0</v>
      </c>
      <c r="AV118" s="8">
        <v>0</v>
      </c>
      <c r="AW118" s="8">
        <f t="shared" si="23"/>
        <v>0</v>
      </c>
      <c r="AX118" s="7">
        <v>20</v>
      </c>
      <c r="AY118" s="7">
        <v>20</v>
      </c>
      <c r="AZ118" s="6"/>
      <c r="BA118" s="6" t="s">
        <v>72</v>
      </c>
    </row>
    <row r="119" spans="1:53">
      <c r="A119" s="7" t="s">
        <v>55</v>
      </c>
      <c r="B119" s="15" t="s">
        <v>53</v>
      </c>
      <c r="C119" s="12" t="s">
        <v>70</v>
      </c>
      <c r="D119" s="15" t="s">
        <v>41</v>
      </c>
      <c r="E119" s="6" t="s">
        <v>15</v>
      </c>
      <c r="F119" s="6" t="s">
        <v>60</v>
      </c>
      <c r="G119" s="10" t="s">
        <v>79</v>
      </c>
      <c r="H119" s="8">
        <v>157.69999999999999</v>
      </c>
      <c r="I119" s="8">
        <v>0.43</v>
      </c>
      <c r="J119" s="8">
        <v>13.1</v>
      </c>
      <c r="K119" s="8">
        <v>157.69999999999999</v>
      </c>
      <c r="L119" s="8">
        <v>0.43</v>
      </c>
      <c r="M119" s="8">
        <v>13.1</v>
      </c>
      <c r="N119" s="8">
        <f t="shared" si="18"/>
        <v>0</v>
      </c>
      <c r="O119" s="8">
        <v>0</v>
      </c>
      <c r="P119" s="8">
        <v>0</v>
      </c>
      <c r="Q119" s="8">
        <v>0</v>
      </c>
      <c r="R119" s="8">
        <v>0</v>
      </c>
      <c r="S119" s="8">
        <v>0</v>
      </c>
      <c r="T119" s="8">
        <v>0</v>
      </c>
      <c r="U119" s="8">
        <f t="shared" si="19"/>
        <v>0</v>
      </c>
      <c r="V119" s="8">
        <v>157.69999999999999</v>
      </c>
      <c r="W119" s="8">
        <v>0.43</v>
      </c>
      <c r="X119" s="8">
        <v>13.1</v>
      </c>
      <c r="Y119" s="8">
        <v>157.69999999999999</v>
      </c>
      <c r="Z119" s="8">
        <v>0.43</v>
      </c>
      <c r="AA119" s="8">
        <v>13.1</v>
      </c>
      <c r="AB119" s="8">
        <f t="shared" si="20"/>
        <v>0</v>
      </c>
      <c r="AC119" s="8">
        <v>0</v>
      </c>
      <c r="AD119" s="8">
        <v>0</v>
      </c>
      <c r="AE119" s="8">
        <v>0</v>
      </c>
      <c r="AF119" s="8">
        <v>0</v>
      </c>
      <c r="AG119" s="8">
        <v>0</v>
      </c>
      <c r="AH119" s="8">
        <v>0</v>
      </c>
      <c r="AI119" s="8">
        <f t="shared" si="21"/>
        <v>0</v>
      </c>
      <c r="AJ119" s="8">
        <v>0</v>
      </c>
      <c r="AK119" s="8">
        <v>0</v>
      </c>
      <c r="AL119" s="8">
        <v>0</v>
      </c>
      <c r="AM119" s="8">
        <v>0</v>
      </c>
      <c r="AN119" s="8">
        <v>0</v>
      </c>
      <c r="AO119" s="8">
        <v>0</v>
      </c>
      <c r="AP119" s="8">
        <f t="shared" si="22"/>
        <v>0</v>
      </c>
      <c r="AQ119" s="8">
        <v>0</v>
      </c>
      <c r="AR119" s="8">
        <v>0</v>
      </c>
      <c r="AS119" s="8">
        <v>0</v>
      </c>
      <c r="AT119" s="8">
        <v>0</v>
      </c>
      <c r="AU119" s="8">
        <v>0</v>
      </c>
      <c r="AV119" s="8">
        <v>0</v>
      </c>
      <c r="AW119" s="8">
        <f t="shared" si="23"/>
        <v>0</v>
      </c>
      <c r="AX119" s="7">
        <v>20</v>
      </c>
      <c r="AY119" s="7">
        <v>20</v>
      </c>
      <c r="AZ119" s="6" t="s">
        <v>78</v>
      </c>
      <c r="BA119" s="6" t="s">
        <v>72</v>
      </c>
    </row>
    <row r="120" spans="1:53">
      <c r="A120" s="7" t="s">
        <v>55</v>
      </c>
      <c r="B120" s="15" t="s">
        <v>392</v>
      </c>
      <c r="C120" s="35" t="s">
        <v>393</v>
      </c>
      <c r="D120" s="6" t="s">
        <v>394</v>
      </c>
      <c r="E120" s="6" t="s">
        <v>15</v>
      </c>
      <c r="F120" s="6" t="s">
        <v>59</v>
      </c>
      <c r="G120" s="36" t="s">
        <v>79</v>
      </c>
      <c r="H120" s="8">
        <v>60.8</v>
      </c>
      <c r="I120" s="8">
        <f>60.8/365</f>
        <v>0.16657534246575342</v>
      </c>
      <c r="J120" s="8">
        <v>10.87</v>
      </c>
      <c r="K120" s="8">
        <v>56.95</v>
      </c>
      <c r="L120" s="8">
        <f>56.95/365</f>
        <v>0.15602739726027398</v>
      </c>
      <c r="M120" s="8">
        <v>10.87</v>
      </c>
      <c r="N120" s="8">
        <f t="shared" si="18"/>
        <v>-1.0547945205479442E-2</v>
      </c>
      <c r="O120" s="8">
        <v>0</v>
      </c>
      <c r="P120" s="8">
        <v>0</v>
      </c>
      <c r="Q120" s="8">
        <v>0</v>
      </c>
      <c r="R120" s="8">
        <v>0</v>
      </c>
      <c r="S120" s="8">
        <v>0</v>
      </c>
      <c r="T120" s="8">
        <v>0</v>
      </c>
      <c r="U120" s="8">
        <f t="shared" si="19"/>
        <v>0</v>
      </c>
      <c r="V120" s="8">
        <v>60.8</v>
      </c>
      <c r="W120" s="8">
        <f>60.8/365</f>
        <v>0.16657534246575342</v>
      </c>
      <c r="X120" s="8">
        <v>10.87</v>
      </c>
      <c r="Y120" s="8">
        <v>56.95</v>
      </c>
      <c r="Z120" s="8">
        <f>56.95/365</f>
        <v>0.15602739726027398</v>
      </c>
      <c r="AA120" s="8">
        <v>10.87</v>
      </c>
      <c r="AB120" s="8">
        <f t="shared" si="20"/>
        <v>-1.0547945205479442E-2</v>
      </c>
      <c r="AC120" s="8">
        <v>0</v>
      </c>
      <c r="AD120" s="8">
        <v>0</v>
      </c>
      <c r="AE120" s="8">
        <v>0</v>
      </c>
      <c r="AF120" s="8">
        <v>0</v>
      </c>
      <c r="AG120" s="8">
        <v>0</v>
      </c>
      <c r="AH120" s="8">
        <v>0</v>
      </c>
      <c r="AI120" s="8">
        <f t="shared" si="21"/>
        <v>0</v>
      </c>
      <c r="AJ120" s="8">
        <v>0</v>
      </c>
      <c r="AK120" s="8">
        <v>0</v>
      </c>
      <c r="AL120" s="8">
        <v>0</v>
      </c>
      <c r="AM120" s="8">
        <v>0</v>
      </c>
      <c r="AN120" s="8">
        <v>0</v>
      </c>
      <c r="AO120" s="8">
        <v>0</v>
      </c>
      <c r="AP120" s="8">
        <f t="shared" si="22"/>
        <v>0</v>
      </c>
      <c r="AQ120" s="8">
        <v>0</v>
      </c>
      <c r="AR120" s="8">
        <v>0</v>
      </c>
      <c r="AS120" s="8">
        <v>0</v>
      </c>
      <c r="AT120" s="8">
        <v>0</v>
      </c>
      <c r="AU120" s="8">
        <v>0</v>
      </c>
      <c r="AV120" s="8">
        <v>0</v>
      </c>
      <c r="AW120" s="8">
        <f t="shared" si="23"/>
        <v>0</v>
      </c>
      <c r="AX120" s="35">
        <v>20</v>
      </c>
      <c r="AY120" s="7"/>
      <c r="AZ120" s="6"/>
      <c r="BA120" s="6" t="s">
        <v>74</v>
      </c>
    </row>
    <row r="121" spans="1:53">
      <c r="A121" s="7" t="s">
        <v>55</v>
      </c>
      <c r="B121" s="15" t="s">
        <v>385</v>
      </c>
      <c r="C121" s="35" t="s">
        <v>386</v>
      </c>
      <c r="D121" s="6" t="s">
        <v>387</v>
      </c>
      <c r="E121" s="6" t="s">
        <v>244</v>
      </c>
      <c r="F121" s="6" t="s">
        <v>59</v>
      </c>
      <c r="G121" s="36" t="s">
        <v>79</v>
      </c>
      <c r="H121" s="8">
        <v>225.87</v>
      </c>
      <c r="I121" s="8">
        <f>225.87/365</f>
        <v>0.61882191780821916</v>
      </c>
      <c r="J121" s="8">
        <v>29.01</v>
      </c>
      <c r="K121" s="8">
        <v>225.87</v>
      </c>
      <c r="L121" s="8">
        <f>225.87/365</f>
        <v>0.61882191780821916</v>
      </c>
      <c r="M121" s="8">
        <v>29.01</v>
      </c>
      <c r="N121" s="8">
        <f t="shared" si="18"/>
        <v>0</v>
      </c>
      <c r="O121" s="8">
        <v>0</v>
      </c>
      <c r="P121" s="8">
        <v>0</v>
      </c>
      <c r="Q121" s="8">
        <v>0</v>
      </c>
      <c r="R121" s="8">
        <v>0</v>
      </c>
      <c r="S121" s="8">
        <v>0</v>
      </c>
      <c r="T121" s="8">
        <v>0</v>
      </c>
      <c r="U121" s="8">
        <f t="shared" si="19"/>
        <v>0</v>
      </c>
      <c r="V121" s="8">
        <v>225.87</v>
      </c>
      <c r="W121" s="8">
        <f>225.87/365</f>
        <v>0.61882191780821916</v>
      </c>
      <c r="X121" s="8">
        <v>29.01</v>
      </c>
      <c r="Y121" s="8">
        <v>225.87</v>
      </c>
      <c r="Z121" s="8">
        <f>225.87/365</f>
        <v>0.61882191780821916</v>
      </c>
      <c r="AA121" s="8">
        <v>29.01</v>
      </c>
      <c r="AB121" s="8">
        <f t="shared" si="20"/>
        <v>0</v>
      </c>
      <c r="AC121" s="8">
        <v>0</v>
      </c>
      <c r="AD121" s="8">
        <v>0</v>
      </c>
      <c r="AE121" s="8">
        <v>0</v>
      </c>
      <c r="AF121" s="8">
        <v>0</v>
      </c>
      <c r="AG121" s="8">
        <v>0</v>
      </c>
      <c r="AH121" s="8">
        <v>0</v>
      </c>
      <c r="AI121" s="8">
        <f t="shared" si="21"/>
        <v>0</v>
      </c>
      <c r="AJ121" s="8">
        <v>0</v>
      </c>
      <c r="AK121" s="8">
        <v>0</v>
      </c>
      <c r="AL121" s="8">
        <v>0</v>
      </c>
      <c r="AM121" s="8">
        <v>0</v>
      </c>
      <c r="AN121" s="8">
        <v>0</v>
      </c>
      <c r="AO121" s="8">
        <v>0</v>
      </c>
      <c r="AP121" s="8">
        <f t="shared" si="22"/>
        <v>0</v>
      </c>
      <c r="AQ121" s="8">
        <v>0</v>
      </c>
      <c r="AR121" s="8">
        <v>0</v>
      </c>
      <c r="AS121" s="8">
        <v>0</v>
      </c>
      <c r="AT121" s="8"/>
      <c r="AU121" s="8"/>
      <c r="AV121" s="8"/>
      <c r="AW121" s="8">
        <f t="shared" si="23"/>
        <v>0</v>
      </c>
      <c r="AX121" s="35">
        <v>20</v>
      </c>
      <c r="AY121" s="7"/>
      <c r="AZ121" s="6" t="s">
        <v>398</v>
      </c>
      <c r="BA121" s="6" t="s">
        <v>72</v>
      </c>
    </row>
    <row r="122" spans="1:53" ht="15" customHeight="1">
      <c r="A122" s="7" t="s">
        <v>55</v>
      </c>
      <c r="B122" s="15" t="s">
        <v>396</v>
      </c>
      <c r="C122" s="35" t="s">
        <v>399</v>
      </c>
      <c r="D122" s="6" t="s">
        <v>397</v>
      </c>
      <c r="E122" s="6" t="s">
        <v>15</v>
      </c>
      <c r="F122" s="6" t="s">
        <v>59</v>
      </c>
      <c r="G122" s="36" t="s">
        <v>79</v>
      </c>
      <c r="H122" s="8">
        <v>209.83</v>
      </c>
      <c r="I122" s="8">
        <f>209.83/365</f>
        <v>0.57487671232876714</v>
      </c>
      <c r="J122" s="8">
        <v>19.3</v>
      </c>
      <c r="K122" s="8">
        <v>209.83</v>
      </c>
      <c r="L122" s="8">
        <f>209.83/365</f>
        <v>0.57487671232876714</v>
      </c>
      <c r="M122" s="8">
        <v>19.3</v>
      </c>
      <c r="N122" s="8">
        <f t="shared" si="18"/>
        <v>0</v>
      </c>
      <c r="O122" s="8">
        <v>0</v>
      </c>
      <c r="P122" s="8">
        <v>0</v>
      </c>
      <c r="Q122" s="8">
        <v>0</v>
      </c>
      <c r="R122" s="8">
        <v>0</v>
      </c>
      <c r="S122" s="8">
        <v>0</v>
      </c>
      <c r="T122" s="8">
        <v>0</v>
      </c>
      <c r="U122" s="8">
        <f t="shared" si="19"/>
        <v>0</v>
      </c>
      <c r="V122" s="8">
        <v>209.83</v>
      </c>
      <c r="W122" s="8">
        <f>209.83/365</f>
        <v>0.57487671232876714</v>
      </c>
      <c r="X122" s="8">
        <v>19.3</v>
      </c>
      <c r="Y122" s="8">
        <v>209.83</v>
      </c>
      <c r="Z122" s="8">
        <f>209.83/365</f>
        <v>0.57487671232876714</v>
      </c>
      <c r="AA122" s="8">
        <v>19.3</v>
      </c>
      <c r="AB122" s="8">
        <f t="shared" si="20"/>
        <v>0</v>
      </c>
      <c r="AC122" s="8">
        <v>0</v>
      </c>
      <c r="AD122" s="8">
        <v>0</v>
      </c>
      <c r="AE122" s="8">
        <v>0</v>
      </c>
      <c r="AF122" s="8">
        <v>0</v>
      </c>
      <c r="AG122" s="8">
        <v>0</v>
      </c>
      <c r="AH122" s="8">
        <v>0</v>
      </c>
      <c r="AI122" s="8">
        <f t="shared" si="21"/>
        <v>0</v>
      </c>
      <c r="AJ122" s="8">
        <v>0</v>
      </c>
      <c r="AK122" s="8">
        <v>0</v>
      </c>
      <c r="AL122" s="8">
        <v>0</v>
      </c>
      <c r="AM122" s="8">
        <v>0</v>
      </c>
      <c r="AN122" s="8">
        <v>0</v>
      </c>
      <c r="AO122" s="8">
        <v>0</v>
      </c>
      <c r="AP122" s="8">
        <f t="shared" si="22"/>
        <v>0</v>
      </c>
      <c r="AQ122" s="8">
        <v>0</v>
      </c>
      <c r="AR122" s="8">
        <v>0</v>
      </c>
      <c r="AS122" s="8">
        <v>0</v>
      </c>
      <c r="AT122" s="8">
        <v>0</v>
      </c>
      <c r="AU122" s="8">
        <v>0</v>
      </c>
      <c r="AV122" s="8">
        <v>0</v>
      </c>
      <c r="AW122" s="8">
        <f t="shared" si="23"/>
        <v>0</v>
      </c>
      <c r="AX122" s="35">
        <v>20</v>
      </c>
      <c r="AY122" s="7"/>
      <c r="AZ122" s="6"/>
      <c r="BA122" s="6" t="s">
        <v>74</v>
      </c>
    </row>
    <row r="123" spans="1:53" ht="15" customHeight="1">
      <c r="A123" s="35" t="s">
        <v>55</v>
      </c>
      <c r="B123" s="15" t="s">
        <v>409</v>
      </c>
      <c r="C123" s="35" t="s">
        <v>413</v>
      </c>
      <c r="D123" s="6" t="s">
        <v>410</v>
      </c>
      <c r="E123" s="6" t="s">
        <v>15</v>
      </c>
      <c r="F123" s="6" t="s">
        <v>60</v>
      </c>
      <c r="G123" s="10" t="s">
        <v>79</v>
      </c>
      <c r="H123" s="8">
        <v>47.57</v>
      </c>
      <c r="I123" s="8">
        <f>47.57/365</f>
        <v>0.13032876712328767</v>
      </c>
      <c r="J123" s="8">
        <v>6.22</v>
      </c>
      <c r="K123" s="8">
        <f>0.172*365</f>
        <v>62.779999999999994</v>
      </c>
      <c r="L123" s="8">
        <v>0.17199999999999999</v>
      </c>
      <c r="M123" s="8">
        <f>62.78/12</f>
        <v>5.2316666666666665</v>
      </c>
      <c r="N123" s="8">
        <f t="shared" si="18"/>
        <v>4.1671232876712316E-2</v>
      </c>
      <c r="O123" s="8">
        <v>0</v>
      </c>
      <c r="P123" s="8">
        <v>0</v>
      </c>
      <c r="Q123" s="8">
        <v>0</v>
      </c>
      <c r="R123" s="8">
        <v>0</v>
      </c>
      <c r="S123" s="8">
        <v>0</v>
      </c>
      <c r="T123" s="8">
        <v>0</v>
      </c>
      <c r="U123" s="8">
        <f t="shared" si="19"/>
        <v>0</v>
      </c>
      <c r="V123" s="8">
        <v>47.57</v>
      </c>
      <c r="W123" s="8">
        <f>47.57/365</f>
        <v>0.13032876712328767</v>
      </c>
      <c r="X123" s="8">
        <v>6.22</v>
      </c>
      <c r="Y123" s="8">
        <f>0.172*365</f>
        <v>62.779999999999994</v>
      </c>
      <c r="Z123" s="8">
        <v>0.17199999999999999</v>
      </c>
      <c r="AA123" s="8">
        <f>62.78/12</f>
        <v>5.2316666666666665</v>
      </c>
      <c r="AB123" s="8">
        <f t="shared" si="20"/>
        <v>4.1671232876712316E-2</v>
      </c>
      <c r="AC123" s="8">
        <v>0</v>
      </c>
      <c r="AD123" s="8">
        <v>0</v>
      </c>
      <c r="AE123" s="8">
        <v>0</v>
      </c>
      <c r="AF123" s="8">
        <v>0</v>
      </c>
      <c r="AG123" s="8">
        <v>0</v>
      </c>
      <c r="AH123" s="8">
        <v>0</v>
      </c>
      <c r="AI123" s="8">
        <f t="shared" si="21"/>
        <v>0</v>
      </c>
      <c r="AJ123" s="8">
        <v>0</v>
      </c>
      <c r="AK123" s="8">
        <v>0</v>
      </c>
      <c r="AL123" s="8">
        <v>0</v>
      </c>
      <c r="AM123" s="8">
        <v>0</v>
      </c>
      <c r="AN123" s="8">
        <v>0</v>
      </c>
      <c r="AO123" s="8">
        <v>0</v>
      </c>
      <c r="AP123" s="8">
        <f t="shared" si="22"/>
        <v>0</v>
      </c>
      <c r="AQ123" s="8">
        <v>0</v>
      </c>
      <c r="AR123" s="8">
        <v>0</v>
      </c>
      <c r="AS123" s="8">
        <v>0</v>
      </c>
      <c r="AT123" s="8">
        <v>0</v>
      </c>
      <c r="AU123" s="8">
        <v>0</v>
      </c>
      <c r="AV123" s="8">
        <v>0</v>
      </c>
      <c r="AW123" s="8">
        <f t="shared" si="23"/>
        <v>0</v>
      </c>
      <c r="AX123" s="35">
        <v>20</v>
      </c>
      <c r="AY123" s="7"/>
      <c r="AZ123" s="6"/>
      <c r="BA123" s="6" t="s">
        <v>72</v>
      </c>
    </row>
    <row r="124" spans="1:53" ht="15" customHeight="1">
      <c r="A124" s="35" t="s">
        <v>55</v>
      </c>
      <c r="B124" s="15" t="s">
        <v>411</v>
      </c>
      <c r="C124" s="35" t="s">
        <v>414</v>
      </c>
      <c r="D124" s="6" t="s">
        <v>412</v>
      </c>
      <c r="E124" s="6" t="s">
        <v>15</v>
      </c>
      <c r="F124" s="6" t="s">
        <v>59</v>
      </c>
      <c r="G124" s="10" t="s">
        <v>79</v>
      </c>
      <c r="H124" s="8">
        <v>281</v>
      </c>
      <c r="I124" s="8">
        <v>0.76986301369863008</v>
      </c>
      <c r="J124" s="8">
        <v>38.26</v>
      </c>
      <c r="K124" s="8">
        <v>281</v>
      </c>
      <c r="L124" s="8">
        <v>0.76986301369863008</v>
      </c>
      <c r="M124" s="8">
        <v>38.26</v>
      </c>
      <c r="N124" s="8">
        <f t="shared" si="18"/>
        <v>0</v>
      </c>
      <c r="O124" s="8">
        <v>0</v>
      </c>
      <c r="P124" s="8">
        <v>0</v>
      </c>
      <c r="Q124" s="8">
        <v>0</v>
      </c>
      <c r="R124" s="8">
        <v>0</v>
      </c>
      <c r="S124" s="8">
        <v>0</v>
      </c>
      <c r="T124" s="8">
        <v>0</v>
      </c>
      <c r="U124" s="8">
        <f t="shared" si="19"/>
        <v>0</v>
      </c>
      <c r="V124" s="8">
        <v>281</v>
      </c>
      <c r="W124" s="8">
        <v>0.76986301369863008</v>
      </c>
      <c r="X124" s="8">
        <v>38.26</v>
      </c>
      <c r="Y124" s="8">
        <v>281</v>
      </c>
      <c r="Z124" s="8">
        <v>0.76986301369863008</v>
      </c>
      <c r="AA124" s="8">
        <v>38.26</v>
      </c>
      <c r="AB124" s="8">
        <f t="shared" si="20"/>
        <v>0</v>
      </c>
      <c r="AC124" s="8">
        <v>0</v>
      </c>
      <c r="AD124" s="8">
        <v>0</v>
      </c>
      <c r="AE124" s="8">
        <v>0</v>
      </c>
      <c r="AF124" s="8">
        <v>0</v>
      </c>
      <c r="AG124" s="8">
        <v>0</v>
      </c>
      <c r="AH124" s="8">
        <v>0</v>
      </c>
      <c r="AI124" s="8">
        <f t="shared" si="21"/>
        <v>0</v>
      </c>
      <c r="AJ124" s="8">
        <v>0</v>
      </c>
      <c r="AK124" s="8">
        <v>0</v>
      </c>
      <c r="AL124" s="8">
        <v>0</v>
      </c>
      <c r="AM124" s="8">
        <v>0</v>
      </c>
      <c r="AN124" s="8">
        <v>0</v>
      </c>
      <c r="AO124" s="8">
        <v>0</v>
      </c>
      <c r="AP124" s="8">
        <f t="shared" si="22"/>
        <v>0</v>
      </c>
      <c r="AQ124" s="8">
        <v>0</v>
      </c>
      <c r="AR124" s="8">
        <v>0</v>
      </c>
      <c r="AS124" s="8">
        <v>0</v>
      </c>
      <c r="AT124" s="8">
        <v>0</v>
      </c>
      <c r="AU124" s="8">
        <v>0</v>
      </c>
      <c r="AV124" s="8">
        <v>0</v>
      </c>
      <c r="AW124" s="8">
        <f t="shared" si="23"/>
        <v>0</v>
      </c>
      <c r="AX124" s="35">
        <v>20</v>
      </c>
      <c r="AY124" s="7"/>
      <c r="AZ124" s="6"/>
      <c r="BA124" s="6" t="s">
        <v>74</v>
      </c>
    </row>
    <row r="125" spans="1:53">
      <c r="A125" s="43" t="s">
        <v>55</v>
      </c>
      <c r="B125" s="44" t="s">
        <v>416</v>
      </c>
      <c r="C125" s="43" t="s">
        <v>417</v>
      </c>
      <c r="D125" s="45" t="s">
        <v>418</v>
      </c>
      <c r="E125" s="45" t="s">
        <v>419</v>
      </c>
      <c r="F125" s="45" t="s">
        <v>57</v>
      </c>
      <c r="G125" s="46" t="s">
        <v>79</v>
      </c>
      <c r="H125" s="47">
        <v>725.23</v>
      </c>
      <c r="I125" s="47">
        <f>725.23/365</f>
        <v>1.9869315068493152</v>
      </c>
      <c r="J125" s="47">
        <v>100.31</v>
      </c>
      <c r="K125" s="47">
        <v>725</v>
      </c>
      <c r="L125" s="47">
        <v>1.9870000000000001</v>
      </c>
      <c r="M125" s="47">
        <v>100.31</v>
      </c>
      <c r="N125" s="47">
        <f t="shared" si="18"/>
        <v>6.8493150684911797E-5</v>
      </c>
      <c r="O125" s="47">
        <v>330</v>
      </c>
      <c r="P125" s="47">
        <v>0.90410958904109584</v>
      </c>
      <c r="Q125" s="47">
        <v>35.65</v>
      </c>
      <c r="R125" s="47">
        <v>330</v>
      </c>
      <c r="S125" s="47">
        <v>0.90410958904109584</v>
      </c>
      <c r="T125" s="47">
        <v>35.65</v>
      </c>
      <c r="U125" s="47">
        <f t="shared" si="19"/>
        <v>0</v>
      </c>
      <c r="V125" s="47">
        <v>391</v>
      </c>
      <c r="W125" s="47">
        <v>1.0712328767123287</v>
      </c>
      <c r="X125" s="47">
        <v>60.17</v>
      </c>
      <c r="Y125" s="47">
        <v>391</v>
      </c>
      <c r="Z125" s="47">
        <v>1.0712328767123287</v>
      </c>
      <c r="AA125" s="47">
        <v>60.17</v>
      </c>
      <c r="AB125" s="47">
        <f t="shared" si="20"/>
        <v>0</v>
      </c>
      <c r="AC125" s="47">
        <v>0</v>
      </c>
      <c r="AD125" s="47">
        <v>0</v>
      </c>
      <c r="AE125" s="47">
        <v>0</v>
      </c>
      <c r="AF125" s="47">
        <v>0</v>
      </c>
      <c r="AG125" s="47">
        <v>0</v>
      </c>
      <c r="AH125" s="47">
        <v>0</v>
      </c>
      <c r="AI125" s="47">
        <f t="shared" si="21"/>
        <v>0</v>
      </c>
      <c r="AJ125" s="47">
        <v>0</v>
      </c>
      <c r="AK125" s="47">
        <v>0</v>
      </c>
      <c r="AL125" s="47">
        <v>0</v>
      </c>
      <c r="AM125" s="47">
        <v>0</v>
      </c>
      <c r="AN125" s="47">
        <v>0</v>
      </c>
      <c r="AO125" s="47">
        <v>0</v>
      </c>
      <c r="AP125" s="47">
        <f t="shared" si="22"/>
        <v>0</v>
      </c>
      <c r="AQ125" s="47">
        <v>0</v>
      </c>
      <c r="AR125" s="47">
        <v>0</v>
      </c>
      <c r="AS125" s="47">
        <v>0</v>
      </c>
      <c r="AT125" s="47">
        <v>0</v>
      </c>
      <c r="AU125" s="47">
        <v>0</v>
      </c>
      <c r="AV125" s="47">
        <v>0</v>
      </c>
      <c r="AW125" s="47">
        <f t="shared" si="23"/>
        <v>0</v>
      </c>
      <c r="AX125" s="43">
        <v>20</v>
      </c>
      <c r="AY125" s="48"/>
      <c r="AZ125" s="45"/>
      <c r="BA125" s="45" t="s">
        <v>72</v>
      </c>
    </row>
    <row r="126" spans="1:53" ht="15.75" customHeight="1">
      <c r="A126" s="39" t="s">
        <v>55</v>
      </c>
      <c r="B126" s="15" t="s">
        <v>453</v>
      </c>
      <c r="C126" s="55" t="s">
        <v>457</v>
      </c>
      <c r="D126" s="42" t="s">
        <v>449</v>
      </c>
      <c r="E126" s="42" t="s">
        <v>15</v>
      </c>
      <c r="F126" s="42" t="s">
        <v>59</v>
      </c>
      <c r="G126" s="38" t="s">
        <v>79</v>
      </c>
      <c r="H126" s="40">
        <v>328.05</v>
      </c>
      <c r="I126" s="40">
        <f>328.05/365</f>
        <v>0.89876712328767128</v>
      </c>
      <c r="J126" s="40">
        <v>9.5</v>
      </c>
      <c r="K126" s="40">
        <v>328.05</v>
      </c>
      <c r="L126" s="40">
        <f>328.05/365</f>
        <v>0.89876712328767128</v>
      </c>
      <c r="M126" s="40">
        <v>9.5</v>
      </c>
      <c r="N126" s="40">
        <f t="shared" si="18"/>
        <v>0</v>
      </c>
      <c r="O126" s="40">
        <v>0</v>
      </c>
      <c r="P126" s="40">
        <v>0</v>
      </c>
      <c r="Q126" s="40">
        <v>0</v>
      </c>
      <c r="R126" s="40">
        <v>0</v>
      </c>
      <c r="S126" s="40">
        <v>0</v>
      </c>
      <c r="T126" s="40">
        <v>0</v>
      </c>
      <c r="U126" s="40">
        <f t="shared" si="19"/>
        <v>0</v>
      </c>
      <c r="V126" s="40">
        <v>328.05</v>
      </c>
      <c r="W126" s="40">
        <f>328.05/365</f>
        <v>0.89876712328767128</v>
      </c>
      <c r="X126" s="40">
        <v>9.5</v>
      </c>
      <c r="Y126" s="40">
        <v>328.05</v>
      </c>
      <c r="Z126" s="40">
        <f>328.05/365</f>
        <v>0.89876712328767128</v>
      </c>
      <c r="AA126" s="40">
        <v>9.5</v>
      </c>
      <c r="AB126" s="40">
        <f t="shared" ref="AB126" si="24">+Z126-W126</f>
        <v>0</v>
      </c>
      <c r="AC126" s="40">
        <v>0</v>
      </c>
      <c r="AD126" s="40">
        <v>0</v>
      </c>
      <c r="AE126" s="40">
        <v>0</v>
      </c>
      <c r="AF126" s="40">
        <v>0</v>
      </c>
      <c r="AG126" s="40">
        <v>0</v>
      </c>
      <c r="AH126" s="40">
        <v>0</v>
      </c>
      <c r="AI126" s="40">
        <f t="shared" ref="AI126" si="25">+AG126-AD126</f>
        <v>0</v>
      </c>
      <c r="AJ126" s="40">
        <v>0</v>
      </c>
      <c r="AK126" s="40">
        <v>0</v>
      </c>
      <c r="AL126" s="40">
        <v>0</v>
      </c>
      <c r="AM126" s="40">
        <v>0</v>
      </c>
      <c r="AN126" s="40">
        <v>0</v>
      </c>
      <c r="AO126" s="40">
        <v>0</v>
      </c>
      <c r="AP126" s="40">
        <f t="shared" ref="AP126" si="26">+AN126-AK126</f>
        <v>0</v>
      </c>
      <c r="AQ126" s="40">
        <v>0</v>
      </c>
      <c r="AR126" s="40">
        <v>0</v>
      </c>
      <c r="AS126" s="40">
        <v>0</v>
      </c>
      <c r="AT126" s="40">
        <v>0</v>
      </c>
      <c r="AU126" s="40">
        <v>0</v>
      </c>
      <c r="AV126" s="40">
        <v>0</v>
      </c>
      <c r="AW126" s="40">
        <f t="shared" ref="AW126" si="27">+AU126-AR126</f>
        <v>0</v>
      </c>
      <c r="AX126" s="39">
        <v>20</v>
      </c>
      <c r="AY126" s="41"/>
      <c r="AZ126" s="42"/>
      <c r="BA126" s="42" t="s">
        <v>461</v>
      </c>
    </row>
    <row r="127" spans="1:53" ht="15.75" customHeight="1">
      <c r="A127" s="35" t="s">
        <v>55</v>
      </c>
      <c r="B127" s="15" t="s">
        <v>454</v>
      </c>
      <c r="C127" s="56" t="s">
        <v>458</v>
      </c>
      <c r="D127" s="6" t="s">
        <v>450</v>
      </c>
      <c r="E127" s="6" t="s">
        <v>15</v>
      </c>
      <c r="F127" s="6" t="s">
        <v>59</v>
      </c>
      <c r="G127" s="10" t="s">
        <v>79</v>
      </c>
      <c r="H127" s="8">
        <v>882.47</v>
      </c>
      <c r="I127" s="8">
        <f>882.47/365</f>
        <v>2.4177260273972605</v>
      </c>
      <c r="J127" s="8">
        <v>13.8</v>
      </c>
      <c r="K127" s="8">
        <v>882.47</v>
      </c>
      <c r="L127" s="8">
        <f>882.47/365</f>
        <v>2.4177260273972605</v>
      </c>
      <c r="M127" s="8">
        <v>13.8</v>
      </c>
      <c r="N127" s="40">
        <f t="shared" ref="N127:N128" si="28">+L127-I127</f>
        <v>0</v>
      </c>
      <c r="O127" s="40">
        <v>0</v>
      </c>
      <c r="P127" s="40">
        <v>0</v>
      </c>
      <c r="Q127" s="40">
        <v>0</v>
      </c>
      <c r="R127" s="40">
        <v>0</v>
      </c>
      <c r="S127" s="40">
        <v>0</v>
      </c>
      <c r="T127" s="40">
        <v>0</v>
      </c>
      <c r="U127" s="40">
        <f t="shared" ref="U127" si="29">+S127-P127</f>
        <v>0</v>
      </c>
      <c r="V127" s="8">
        <v>882.47</v>
      </c>
      <c r="W127" s="8">
        <f>882.47/365</f>
        <v>2.4177260273972605</v>
      </c>
      <c r="X127" s="8">
        <v>13.8</v>
      </c>
      <c r="Y127" s="8">
        <v>882.47</v>
      </c>
      <c r="Z127" s="8">
        <f>882.47/365</f>
        <v>2.4177260273972605</v>
      </c>
      <c r="AA127" s="8">
        <v>13.8</v>
      </c>
      <c r="AB127" s="40">
        <f t="shared" ref="AB127" si="30">+Z127-W127</f>
        <v>0</v>
      </c>
      <c r="AC127" s="40">
        <v>0</v>
      </c>
      <c r="AD127" s="40">
        <v>0</v>
      </c>
      <c r="AE127" s="40">
        <v>0</v>
      </c>
      <c r="AF127" s="40">
        <v>0</v>
      </c>
      <c r="AG127" s="40">
        <v>0</v>
      </c>
      <c r="AH127" s="40">
        <v>0</v>
      </c>
      <c r="AI127" s="40">
        <f t="shared" ref="AI127" si="31">+AG127-AD127</f>
        <v>0</v>
      </c>
      <c r="AJ127" s="40">
        <v>0</v>
      </c>
      <c r="AK127" s="40">
        <v>0</v>
      </c>
      <c r="AL127" s="40">
        <v>0</v>
      </c>
      <c r="AM127" s="40">
        <v>0</v>
      </c>
      <c r="AN127" s="40">
        <v>0</v>
      </c>
      <c r="AO127" s="40">
        <v>0</v>
      </c>
      <c r="AP127" s="40">
        <f t="shared" ref="AP127" si="32">+AN127-AK127</f>
        <v>0</v>
      </c>
      <c r="AQ127" s="40">
        <v>0</v>
      </c>
      <c r="AR127" s="40">
        <v>0</v>
      </c>
      <c r="AS127" s="40">
        <v>0</v>
      </c>
      <c r="AT127" s="40">
        <v>0</v>
      </c>
      <c r="AU127" s="40">
        <v>0</v>
      </c>
      <c r="AV127" s="40">
        <v>0</v>
      </c>
      <c r="AW127" s="40">
        <f t="shared" ref="AW127" si="33">+AU127-AR127</f>
        <v>0</v>
      </c>
      <c r="AX127" s="39">
        <v>20</v>
      </c>
      <c r="AY127" s="41"/>
      <c r="AZ127" s="42"/>
      <c r="BA127" s="42" t="s">
        <v>461</v>
      </c>
    </row>
    <row r="128" spans="1:53" ht="15.75" customHeight="1">
      <c r="A128" s="35" t="s">
        <v>55</v>
      </c>
      <c r="B128" s="15" t="s">
        <v>455</v>
      </c>
      <c r="C128" s="56" t="s">
        <v>459</v>
      </c>
      <c r="D128" s="6" t="s">
        <v>451</v>
      </c>
      <c r="E128" s="6" t="s">
        <v>15</v>
      </c>
      <c r="F128" s="6" t="s">
        <v>59</v>
      </c>
      <c r="G128" s="10" t="s">
        <v>79</v>
      </c>
      <c r="H128" s="8">
        <v>57.34</v>
      </c>
      <c r="I128" s="8">
        <f>57.34/365</f>
        <v>0.15709589041095892</v>
      </c>
      <c r="J128" s="8">
        <v>6.83</v>
      </c>
      <c r="K128" s="8">
        <v>57.34</v>
      </c>
      <c r="L128" s="8">
        <f>57.34/365</f>
        <v>0.15709589041095892</v>
      </c>
      <c r="M128" s="8">
        <v>6.83</v>
      </c>
      <c r="N128" s="40">
        <f t="shared" si="28"/>
        <v>0</v>
      </c>
      <c r="O128" s="40">
        <v>0</v>
      </c>
      <c r="P128" s="40">
        <v>0</v>
      </c>
      <c r="Q128" s="40">
        <v>0</v>
      </c>
      <c r="R128" s="40">
        <v>0</v>
      </c>
      <c r="S128" s="40">
        <v>0</v>
      </c>
      <c r="T128" s="40">
        <v>0</v>
      </c>
      <c r="U128" s="40">
        <f t="shared" ref="U128" si="34">+S128-P128</f>
        <v>0</v>
      </c>
      <c r="V128" s="8">
        <v>57.34</v>
      </c>
      <c r="W128" s="8">
        <f>57.34/365</f>
        <v>0.15709589041095892</v>
      </c>
      <c r="X128" s="8">
        <v>6.83</v>
      </c>
      <c r="Y128" s="8">
        <v>57.34</v>
      </c>
      <c r="Z128" s="8">
        <f>57.34/365</f>
        <v>0.15709589041095892</v>
      </c>
      <c r="AA128" s="8">
        <v>6.83</v>
      </c>
      <c r="AB128" s="40">
        <f t="shared" ref="AB128" si="35">+Z128-W128</f>
        <v>0</v>
      </c>
      <c r="AC128" s="40">
        <v>0</v>
      </c>
      <c r="AD128" s="40">
        <v>0</v>
      </c>
      <c r="AE128" s="40">
        <v>0</v>
      </c>
      <c r="AF128" s="40">
        <v>0</v>
      </c>
      <c r="AG128" s="40">
        <v>0</v>
      </c>
      <c r="AH128" s="40">
        <v>0</v>
      </c>
      <c r="AI128" s="40">
        <f t="shared" ref="AI128" si="36">+AG128-AD128</f>
        <v>0</v>
      </c>
      <c r="AJ128" s="40">
        <v>0</v>
      </c>
      <c r="AK128" s="40">
        <v>0</v>
      </c>
      <c r="AL128" s="40">
        <v>0</v>
      </c>
      <c r="AM128" s="40">
        <v>0</v>
      </c>
      <c r="AN128" s="40">
        <v>0</v>
      </c>
      <c r="AO128" s="40">
        <v>0</v>
      </c>
      <c r="AP128" s="40">
        <f t="shared" ref="AP128" si="37">+AN128-AK128</f>
        <v>0</v>
      </c>
      <c r="AQ128" s="40">
        <v>0</v>
      </c>
      <c r="AR128" s="40">
        <v>0</v>
      </c>
      <c r="AS128" s="40">
        <v>0</v>
      </c>
      <c r="AT128" s="40">
        <v>0</v>
      </c>
      <c r="AU128" s="40">
        <v>0</v>
      </c>
      <c r="AV128" s="40">
        <v>0</v>
      </c>
      <c r="AW128" s="40">
        <f t="shared" ref="AW128" si="38">+AU128-AR128</f>
        <v>0</v>
      </c>
      <c r="AX128" s="39">
        <v>20</v>
      </c>
      <c r="AY128" s="41"/>
      <c r="AZ128" s="42"/>
      <c r="BA128" s="42" t="s">
        <v>461</v>
      </c>
    </row>
    <row r="129" spans="1:53" ht="15.75" customHeight="1">
      <c r="A129" s="35" t="s">
        <v>55</v>
      </c>
      <c r="B129" s="15" t="s">
        <v>456</v>
      </c>
      <c r="C129" s="56" t="s">
        <v>460</v>
      </c>
      <c r="D129" s="6" t="s">
        <v>452</v>
      </c>
      <c r="E129" s="6" t="s">
        <v>15</v>
      </c>
      <c r="F129" s="6" t="s">
        <v>59</v>
      </c>
      <c r="G129" s="10" t="s">
        <v>79</v>
      </c>
      <c r="H129" s="8">
        <v>26.92</v>
      </c>
      <c r="I129" s="8">
        <f>26.92/365</f>
        <v>7.3753424657534247E-2</v>
      </c>
      <c r="J129" s="8">
        <v>5.47</v>
      </c>
      <c r="K129" s="8">
        <v>26.92</v>
      </c>
      <c r="L129" s="8">
        <f>26.92/365</f>
        <v>7.3753424657534247E-2</v>
      </c>
      <c r="M129" s="8">
        <v>5.47</v>
      </c>
      <c r="N129" s="40">
        <f t="shared" ref="N129" si="39">+L129-I129</f>
        <v>0</v>
      </c>
      <c r="O129" s="40">
        <v>0</v>
      </c>
      <c r="P129" s="40">
        <v>0</v>
      </c>
      <c r="Q129" s="40">
        <v>0</v>
      </c>
      <c r="R129" s="40">
        <v>0</v>
      </c>
      <c r="S129" s="40">
        <v>0</v>
      </c>
      <c r="T129" s="40">
        <v>0</v>
      </c>
      <c r="U129" s="40">
        <f t="shared" ref="U129" si="40">+S129-P129</f>
        <v>0</v>
      </c>
      <c r="V129" s="8">
        <v>26.92</v>
      </c>
      <c r="W129" s="8">
        <f>26.92/365</f>
        <v>7.3753424657534247E-2</v>
      </c>
      <c r="X129" s="8">
        <v>5.47</v>
      </c>
      <c r="Y129" s="8">
        <v>26.92</v>
      </c>
      <c r="Z129" s="8">
        <f>26.92/365</f>
        <v>7.3753424657534247E-2</v>
      </c>
      <c r="AA129" s="8">
        <v>5.47</v>
      </c>
      <c r="AB129" s="40">
        <f t="shared" ref="AB129" si="41">+Z129-W129</f>
        <v>0</v>
      </c>
      <c r="AC129" s="40">
        <v>0</v>
      </c>
      <c r="AD129" s="40">
        <v>0</v>
      </c>
      <c r="AE129" s="40">
        <v>0</v>
      </c>
      <c r="AF129" s="40">
        <v>0</v>
      </c>
      <c r="AG129" s="40">
        <v>0</v>
      </c>
      <c r="AH129" s="40">
        <v>0</v>
      </c>
      <c r="AI129" s="40">
        <f t="shared" ref="AI129" si="42">+AG129-AD129</f>
        <v>0</v>
      </c>
      <c r="AJ129" s="40">
        <v>0</v>
      </c>
      <c r="AK129" s="40">
        <v>0</v>
      </c>
      <c r="AL129" s="40">
        <v>0</v>
      </c>
      <c r="AM129" s="40">
        <v>0</v>
      </c>
      <c r="AN129" s="40">
        <v>0</v>
      </c>
      <c r="AO129" s="40">
        <v>0</v>
      </c>
      <c r="AP129" s="40">
        <f t="shared" ref="AP129" si="43">+AN129-AK129</f>
        <v>0</v>
      </c>
      <c r="AQ129" s="40">
        <v>0</v>
      </c>
      <c r="AR129" s="40">
        <v>0</v>
      </c>
      <c r="AS129" s="40">
        <v>0</v>
      </c>
      <c r="AT129" s="40">
        <v>0</v>
      </c>
      <c r="AU129" s="40">
        <v>0</v>
      </c>
      <c r="AV129" s="40">
        <v>0</v>
      </c>
      <c r="AW129" s="40">
        <f t="shared" ref="AW129" si="44">+AU129-AR129</f>
        <v>0</v>
      </c>
      <c r="AX129" s="39">
        <v>20</v>
      </c>
      <c r="AY129" s="41"/>
      <c r="AZ129" s="42"/>
      <c r="BA129" s="42" t="s">
        <v>461</v>
      </c>
    </row>
    <row r="130" spans="1:53" ht="15.75" thickBot="1">
      <c r="A130" s="49" t="s">
        <v>17</v>
      </c>
      <c r="B130" s="50"/>
      <c r="C130" s="50"/>
      <c r="D130" s="51"/>
      <c r="E130" s="51"/>
      <c r="F130" s="51"/>
      <c r="G130" s="50"/>
      <c r="H130" s="52"/>
      <c r="I130" s="52"/>
      <c r="J130" s="52"/>
      <c r="K130" s="52"/>
      <c r="L130" s="52"/>
      <c r="M130" s="52"/>
      <c r="N130" s="53">
        <f>SUM(N2:N125)</f>
        <v>34.923386301369867</v>
      </c>
      <c r="O130" s="52"/>
      <c r="P130" s="52"/>
      <c r="Q130" s="52"/>
      <c r="R130" s="52"/>
      <c r="S130" s="52"/>
      <c r="T130" s="52"/>
      <c r="U130" s="53">
        <f>SUM(U2:U126)</f>
        <v>2.0780821917808213E-2</v>
      </c>
      <c r="V130" s="53"/>
      <c r="W130" s="53"/>
      <c r="X130" s="53"/>
      <c r="Y130" s="53"/>
      <c r="Z130" s="53"/>
      <c r="AA130" s="53"/>
      <c r="AB130" s="53">
        <f>SUM(AB2:AB125)</f>
        <v>-2.6124356164383551</v>
      </c>
      <c r="AC130" s="53"/>
      <c r="AD130" s="53"/>
      <c r="AE130" s="53"/>
      <c r="AF130" s="53"/>
      <c r="AG130" s="53"/>
      <c r="AH130" s="53"/>
      <c r="AI130" s="53">
        <f>SUM(AI2:AI125)</f>
        <v>37.5</v>
      </c>
      <c r="AJ130" s="53"/>
      <c r="AK130" s="53"/>
      <c r="AL130" s="53"/>
      <c r="AM130" s="53"/>
      <c r="AN130" s="53"/>
      <c r="AO130" s="53"/>
      <c r="AP130" s="53">
        <f>SUM(AP2:AP125)</f>
        <v>0</v>
      </c>
      <c r="AQ130" s="52"/>
      <c r="AR130" s="52"/>
      <c r="AS130" s="52"/>
      <c r="AT130" s="52"/>
      <c r="AU130" s="52"/>
      <c r="AV130" s="52"/>
      <c r="AW130" s="53">
        <f>SUM(AW2:AW125)</f>
        <v>9.9949589041095894</v>
      </c>
      <c r="AX130" s="50"/>
      <c r="AY130" s="50"/>
      <c r="AZ130" s="51"/>
      <c r="BA130" s="54"/>
    </row>
    <row r="131" spans="1:53">
      <c r="N131" s="5"/>
      <c r="AW131" s="5"/>
    </row>
    <row r="132" spans="1:53">
      <c r="N132" s="5"/>
      <c r="AW132" s="5"/>
    </row>
    <row r="133" spans="1:53">
      <c r="N133" s="5"/>
      <c r="AW133" s="5"/>
    </row>
    <row r="134" spans="1:53">
      <c r="N134" s="5"/>
      <c r="AW134" s="5"/>
    </row>
    <row r="135" spans="1:53">
      <c r="N135" s="5"/>
      <c r="AW135" s="5"/>
    </row>
    <row r="136" spans="1:53">
      <c r="N136" s="5"/>
      <c r="AW136" s="5"/>
    </row>
    <row r="137" spans="1:53">
      <c r="N137" s="5"/>
      <c r="AW137" s="5"/>
    </row>
    <row r="138" spans="1:53">
      <c r="N138" s="5"/>
      <c r="AW138" s="5"/>
    </row>
    <row r="139" spans="1:53">
      <c r="N139" s="5"/>
      <c r="AW139" s="5"/>
    </row>
    <row r="140" spans="1:53">
      <c r="N140" s="5"/>
      <c r="AW140" s="5"/>
    </row>
    <row r="141" spans="1:53">
      <c r="N141" s="5"/>
      <c r="AW141" s="5"/>
    </row>
    <row r="142" spans="1:53">
      <c r="N142" s="5"/>
      <c r="AW142" s="5"/>
    </row>
    <row r="143" spans="1:53">
      <c r="N143" s="5"/>
      <c r="AW143" s="5"/>
    </row>
    <row r="144" spans="1:53">
      <c r="N144" s="5"/>
      <c r="AW144" s="5"/>
    </row>
    <row r="145" spans="14:49">
      <c r="N145" s="5"/>
      <c r="AW145" s="5"/>
    </row>
    <row r="146" spans="14:49">
      <c r="N146" s="5"/>
      <c r="AW146" s="5"/>
    </row>
    <row r="147" spans="14:49">
      <c r="N147" s="5"/>
      <c r="AW147" s="5"/>
    </row>
    <row r="148" spans="14:49">
      <c r="N148" s="5"/>
      <c r="AW148" s="5"/>
    </row>
    <row r="149" spans="14:49">
      <c r="N149" s="5"/>
      <c r="AW149" s="5"/>
    </row>
    <row r="150" spans="14:49">
      <c r="N150" s="5"/>
      <c r="AW150" s="5"/>
    </row>
    <row r="151" spans="14:49">
      <c r="N151" s="5"/>
      <c r="AW151" s="5"/>
    </row>
    <row r="152" spans="14:49">
      <c r="N152" s="5"/>
      <c r="AW152" s="5"/>
    </row>
    <row r="153" spans="14:49">
      <c r="N153" s="5"/>
      <c r="AW153" s="5"/>
    </row>
    <row r="154" spans="14:49">
      <c r="N154" s="5"/>
      <c r="AW154" s="5"/>
    </row>
    <row r="155" spans="14:49">
      <c r="N155" s="5"/>
      <c r="AW155" s="5"/>
    </row>
    <row r="156" spans="14:49">
      <c r="N156" s="5"/>
      <c r="AW156" s="5"/>
    </row>
    <row r="157" spans="14:49">
      <c r="N157" s="5"/>
      <c r="AW157" s="5"/>
    </row>
    <row r="158" spans="14:49">
      <c r="N158" s="5"/>
      <c r="AW158" s="5"/>
    </row>
    <row r="159" spans="14:49">
      <c r="N159" s="5"/>
      <c r="AW159" s="5"/>
    </row>
    <row r="160" spans="14:49">
      <c r="N160" s="5"/>
      <c r="AW160" s="5"/>
    </row>
    <row r="161" spans="14:49">
      <c r="N161" s="5"/>
      <c r="AW161" s="5"/>
    </row>
    <row r="162" spans="14:49">
      <c r="N162" s="5"/>
      <c r="AW162" s="5"/>
    </row>
    <row r="163" spans="14:49">
      <c r="N163" s="5"/>
      <c r="AW163" s="5"/>
    </row>
    <row r="164" spans="14:49">
      <c r="N164" s="5"/>
      <c r="AW164" s="5"/>
    </row>
    <row r="165" spans="14:49">
      <c r="N165" s="5"/>
      <c r="AW165" s="5"/>
    </row>
    <row r="166" spans="14:49">
      <c r="N166" s="5"/>
      <c r="AW166" s="5"/>
    </row>
    <row r="167" spans="14:49">
      <c r="N167" s="5"/>
      <c r="AW167" s="5"/>
    </row>
    <row r="168" spans="14:49">
      <c r="N168" s="5"/>
      <c r="AW168" s="5"/>
    </row>
    <row r="169" spans="14:49">
      <c r="N169" s="5"/>
      <c r="AW169" s="5"/>
    </row>
    <row r="170" spans="14:49">
      <c r="N170" s="5"/>
      <c r="AW170" s="5"/>
    </row>
    <row r="171" spans="14:49">
      <c r="N171" s="5"/>
      <c r="AW171" s="5"/>
    </row>
    <row r="172" spans="14:49">
      <c r="N172" s="5"/>
      <c r="AW172" s="5"/>
    </row>
    <row r="173" spans="14:49">
      <c r="N173" s="5"/>
      <c r="AW173" s="5"/>
    </row>
    <row r="174" spans="14:49">
      <c r="N174" s="5"/>
      <c r="AW174" s="5"/>
    </row>
    <row r="175" spans="14:49">
      <c r="N175" s="5"/>
      <c r="AW175" s="5"/>
    </row>
    <row r="176" spans="14:49">
      <c r="N176" s="5"/>
      <c r="AW176" s="5"/>
    </row>
    <row r="177" spans="14:49">
      <c r="N177" s="5"/>
      <c r="AW177" s="5"/>
    </row>
    <row r="178" spans="14:49">
      <c r="N178" s="5"/>
      <c r="AW178" s="5"/>
    </row>
    <row r="179" spans="14:49">
      <c r="N179" s="5"/>
      <c r="AW179" s="5"/>
    </row>
    <row r="180" spans="14:49">
      <c r="N180" s="5"/>
      <c r="AW180" s="5"/>
    </row>
    <row r="181" spans="14:49">
      <c r="N181" s="5"/>
      <c r="AW181" s="5"/>
    </row>
    <row r="182" spans="14:49">
      <c r="N182" s="5"/>
      <c r="AW182" s="5"/>
    </row>
    <row r="183" spans="14:49">
      <c r="N183" s="5"/>
      <c r="AW183" s="5"/>
    </row>
    <row r="184" spans="14:49">
      <c r="N184" s="5"/>
      <c r="AW184" s="5"/>
    </row>
    <row r="185" spans="14:49">
      <c r="N185" s="5"/>
      <c r="AW185" s="5"/>
    </row>
    <row r="186" spans="14:49">
      <c r="N186" s="5"/>
      <c r="AW186" s="5"/>
    </row>
    <row r="187" spans="14:49">
      <c r="N187" s="5"/>
      <c r="AW187" s="5"/>
    </row>
    <row r="188" spans="14:49">
      <c r="N188" s="5"/>
      <c r="AW188" s="5"/>
    </row>
    <row r="189" spans="14:49">
      <c r="N189" s="5"/>
      <c r="AW189" s="5"/>
    </row>
    <row r="190" spans="14:49">
      <c r="N190" s="5"/>
      <c r="AW190" s="5"/>
    </row>
    <row r="191" spans="14:49">
      <c r="N191" s="5"/>
      <c r="AW191" s="5"/>
    </row>
    <row r="192" spans="14:49">
      <c r="N192" s="5"/>
      <c r="AW192" s="5"/>
    </row>
    <row r="193" spans="14:49">
      <c r="N193" s="5"/>
      <c r="AW193" s="5"/>
    </row>
    <row r="194" spans="14:49">
      <c r="N194" s="5"/>
      <c r="AW194" s="5"/>
    </row>
    <row r="195" spans="14:49">
      <c r="N195" s="5"/>
      <c r="AW195" s="5"/>
    </row>
    <row r="196" spans="14:49">
      <c r="N196" s="5"/>
      <c r="AW196" s="5"/>
    </row>
    <row r="197" spans="14:49">
      <c r="N197" s="5"/>
      <c r="AW197" s="5"/>
    </row>
    <row r="198" spans="14:49">
      <c r="N198" s="5"/>
      <c r="AW198" s="5"/>
    </row>
    <row r="199" spans="14:49">
      <c r="N199" s="5"/>
      <c r="AW199" s="5"/>
    </row>
    <row r="200" spans="14:49">
      <c r="N200" s="5"/>
      <c r="AW200" s="5"/>
    </row>
    <row r="201" spans="14:49">
      <c r="N201" s="5"/>
      <c r="AW201" s="5"/>
    </row>
    <row r="202" spans="14:49">
      <c r="N202" s="5"/>
      <c r="AW202" s="5"/>
    </row>
    <row r="203" spans="14:49">
      <c r="N203" s="5"/>
      <c r="AW203" s="5"/>
    </row>
    <row r="204" spans="14:49">
      <c r="N204" s="5"/>
      <c r="AW204" s="5"/>
    </row>
    <row r="205" spans="14:49">
      <c r="N205" s="5"/>
      <c r="AW205" s="5"/>
    </row>
    <row r="206" spans="14:49">
      <c r="N206" s="5"/>
      <c r="AW206" s="5"/>
    </row>
    <row r="207" spans="14:49">
      <c r="N207" s="5"/>
      <c r="AW207" s="5"/>
    </row>
    <row r="208" spans="14:49">
      <c r="N208" s="5"/>
      <c r="AW208" s="5"/>
    </row>
    <row r="209" spans="14:49">
      <c r="N209" s="5"/>
      <c r="AW209" s="5"/>
    </row>
    <row r="210" spans="14:49">
      <c r="N210" s="5"/>
      <c r="AW210" s="5"/>
    </row>
    <row r="211" spans="14:49">
      <c r="N211" s="5"/>
      <c r="AW211" s="5"/>
    </row>
    <row r="212" spans="14:49">
      <c r="N212" s="5"/>
      <c r="AW212" s="5"/>
    </row>
    <row r="213" spans="14:49">
      <c r="N213" s="5"/>
      <c r="AW213" s="5"/>
    </row>
    <row r="214" spans="14:49">
      <c r="N214" s="5"/>
      <c r="AW214" s="5"/>
    </row>
    <row r="215" spans="14:49">
      <c r="N215" s="5"/>
      <c r="AW215" s="5"/>
    </row>
    <row r="216" spans="14:49">
      <c r="N216" s="5"/>
      <c r="AW216" s="5"/>
    </row>
    <row r="217" spans="14:49">
      <c r="N217" s="5"/>
      <c r="AW217" s="5"/>
    </row>
    <row r="218" spans="14:49">
      <c r="N218" s="5"/>
      <c r="AW218" s="5"/>
    </row>
    <row r="219" spans="14:49">
      <c r="N219" s="5"/>
      <c r="AW219" s="5"/>
    </row>
    <row r="220" spans="14:49">
      <c r="N220" s="5"/>
      <c r="AW220" s="5"/>
    </row>
    <row r="221" spans="14:49">
      <c r="N221" s="5"/>
      <c r="AW221" s="5"/>
    </row>
    <row r="222" spans="14:49">
      <c r="N222" s="5"/>
      <c r="AW222" s="5"/>
    </row>
    <row r="223" spans="14:49">
      <c r="N223" s="5"/>
      <c r="AW223" s="5"/>
    </row>
    <row r="224" spans="14:49">
      <c r="N224" s="5"/>
      <c r="AW224" s="5"/>
    </row>
    <row r="225" spans="14:49">
      <c r="N225" s="5"/>
      <c r="AW225" s="5"/>
    </row>
    <row r="226" spans="14:49">
      <c r="N226" s="5"/>
      <c r="AW226" s="5"/>
    </row>
    <row r="227" spans="14:49">
      <c r="N227" s="5"/>
      <c r="AW227" s="5"/>
    </row>
    <row r="228" spans="14:49">
      <c r="N228" s="5"/>
      <c r="AW228" s="5"/>
    </row>
    <row r="229" spans="14:49">
      <c r="N229" s="5"/>
      <c r="AW229" s="5"/>
    </row>
    <row r="230" spans="14:49">
      <c r="N230" s="5"/>
      <c r="AW230" s="5"/>
    </row>
    <row r="231" spans="14:49">
      <c r="N231" s="5"/>
      <c r="AW231" s="5"/>
    </row>
    <row r="232" spans="14:49">
      <c r="N232" s="5"/>
      <c r="AW232" s="5"/>
    </row>
    <row r="233" spans="14:49">
      <c r="N233" s="5"/>
      <c r="AW233" s="5"/>
    </row>
    <row r="234" spans="14:49">
      <c r="N234" s="5"/>
      <c r="AW234" s="5"/>
    </row>
    <row r="235" spans="14:49">
      <c r="N235" s="5"/>
      <c r="AW235" s="5"/>
    </row>
    <row r="236" spans="14:49">
      <c r="N236" s="5"/>
      <c r="AW236" s="5"/>
    </row>
    <row r="237" spans="14:49">
      <c r="N237" s="5"/>
      <c r="AW237" s="5"/>
    </row>
    <row r="238" spans="14:49">
      <c r="N238" s="5"/>
      <c r="AW238" s="5"/>
    </row>
    <row r="239" spans="14:49">
      <c r="N239" s="5"/>
      <c r="AW239" s="5"/>
    </row>
    <row r="240" spans="14:49">
      <c r="N240" s="5"/>
      <c r="AW240" s="5"/>
    </row>
    <row r="241" spans="14:49">
      <c r="N241" s="5"/>
      <c r="AW241" s="5"/>
    </row>
    <row r="242" spans="14:49">
      <c r="N242" s="5"/>
      <c r="AW242" s="5"/>
    </row>
    <row r="243" spans="14:49">
      <c r="N243" s="5"/>
      <c r="AW243" s="5"/>
    </row>
    <row r="244" spans="14:49">
      <c r="N244" s="5"/>
      <c r="AW244" s="5"/>
    </row>
    <row r="245" spans="14:49">
      <c r="N245" s="5"/>
      <c r="AW245" s="5"/>
    </row>
    <row r="246" spans="14:49">
      <c r="N246" s="5"/>
      <c r="AW246" s="5"/>
    </row>
    <row r="247" spans="14:49">
      <c r="N247" s="5"/>
      <c r="AW247" s="5"/>
    </row>
    <row r="248" spans="14:49">
      <c r="N248" s="5"/>
      <c r="AW248" s="5"/>
    </row>
    <row r="249" spans="14:49">
      <c r="N249" s="5"/>
      <c r="AW249" s="5"/>
    </row>
    <row r="250" spans="14:49">
      <c r="N250" s="5"/>
      <c r="AW250" s="5"/>
    </row>
    <row r="251" spans="14:49">
      <c r="N251" s="5"/>
      <c r="AW251" s="5"/>
    </row>
    <row r="252" spans="14:49">
      <c r="N252" s="5"/>
      <c r="AW252" s="5"/>
    </row>
    <row r="253" spans="14:49">
      <c r="N253" s="5"/>
      <c r="AW253" s="5"/>
    </row>
    <row r="254" spans="14:49">
      <c r="N254" s="5"/>
      <c r="AW254" s="5"/>
    </row>
    <row r="255" spans="14:49">
      <c r="N255" s="5"/>
      <c r="AW255" s="5"/>
    </row>
    <row r="256" spans="14:49">
      <c r="N256" s="5"/>
      <c r="AW256" s="5"/>
    </row>
    <row r="257" spans="14:49">
      <c r="N257" s="5"/>
      <c r="AW257" s="5"/>
    </row>
    <row r="258" spans="14:49">
      <c r="N258" s="5"/>
      <c r="AW258" s="5"/>
    </row>
    <row r="259" spans="14:49">
      <c r="N259" s="5"/>
      <c r="AW259" s="5"/>
    </row>
    <row r="260" spans="14:49">
      <c r="N260" s="5"/>
      <c r="AW260" s="5"/>
    </row>
    <row r="261" spans="14:49">
      <c r="N261" s="5"/>
      <c r="AW261" s="5"/>
    </row>
    <row r="262" spans="14:49">
      <c r="N262" s="5"/>
      <c r="AW262" s="5"/>
    </row>
    <row r="263" spans="14:49">
      <c r="N263" s="5"/>
      <c r="AW263" s="5"/>
    </row>
    <row r="264" spans="14:49">
      <c r="N264" s="5"/>
      <c r="AW264" s="5"/>
    </row>
    <row r="265" spans="14:49">
      <c r="N265" s="5"/>
      <c r="AW265" s="5"/>
    </row>
    <row r="266" spans="14:49">
      <c r="N266" s="5"/>
      <c r="AW266" s="5"/>
    </row>
    <row r="267" spans="14:49">
      <c r="N267" s="5"/>
      <c r="AW267" s="5"/>
    </row>
    <row r="268" spans="14:49">
      <c r="N268" s="5"/>
      <c r="AW268" s="5"/>
    </row>
    <row r="269" spans="14:49">
      <c r="N269" s="5"/>
      <c r="AW269" s="5"/>
    </row>
    <row r="270" spans="14:49">
      <c r="N270" s="5"/>
      <c r="AW270" s="5"/>
    </row>
    <row r="271" spans="14:49">
      <c r="N271" s="5"/>
      <c r="AW271" s="5"/>
    </row>
    <row r="272" spans="14:49">
      <c r="N272" s="5"/>
      <c r="AW272" s="5"/>
    </row>
    <row r="273" spans="14:49">
      <c r="N273" s="5"/>
      <c r="AW273" s="5"/>
    </row>
    <row r="274" spans="14:49">
      <c r="N274" s="5"/>
      <c r="AW274" s="5"/>
    </row>
    <row r="275" spans="14:49">
      <c r="N275" s="5"/>
      <c r="AW275" s="5"/>
    </row>
    <row r="276" spans="14:49">
      <c r="N276" s="5"/>
      <c r="AW276" s="5"/>
    </row>
    <row r="277" spans="14:49">
      <c r="N277" s="5"/>
      <c r="AW277" s="5"/>
    </row>
    <row r="278" spans="14:49">
      <c r="N278" s="5"/>
      <c r="AW278" s="5"/>
    </row>
    <row r="279" spans="14:49">
      <c r="N279" s="5"/>
      <c r="AW279" s="5"/>
    </row>
    <row r="280" spans="14:49">
      <c r="N280" s="5"/>
      <c r="AW280" s="5"/>
    </row>
    <row r="281" spans="14:49">
      <c r="N281" s="5"/>
      <c r="AW281" s="5"/>
    </row>
    <row r="282" spans="14:49">
      <c r="N282" s="5"/>
      <c r="AW282" s="5"/>
    </row>
    <row r="283" spans="14:49">
      <c r="N283" s="5"/>
      <c r="AW283" s="5"/>
    </row>
    <row r="284" spans="14:49">
      <c r="N284" s="5"/>
      <c r="AW284" s="5"/>
    </row>
    <row r="285" spans="14:49">
      <c r="N285" s="5"/>
      <c r="AW285" s="5"/>
    </row>
    <row r="286" spans="14:49">
      <c r="N286" s="5"/>
      <c r="AW286" s="5"/>
    </row>
    <row r="287" spans="14:49">
      <c r="N287" s="5"/>
      <c r="AW287" s="5"/>
    </row>
    <row r="288" spans="14:49">
      <c r="N288" s="5"/>
      <c r="AW288" s="5"/>
    </row>
    <row r="289" spans="14:49">
      <c r="N289" s="5"/>
      <c r="AW289" s="5"/>
    </row>
    <row r="290" spans="14:49">
      <c r="N290" s="5"/>
      <c r="AW290" s="5"/>
    </row>
    <row r="291" spans="14:49">
      <c r="N291" s="5"/>
      <c r="AW291" s="5"/>
    </row>
    <row r="292" spans="14:49">
      <c r="N292" s="5"/>
      <c r="AW292" s="5"/>
    </row>
    <row r="293" spans="14:49">
      <c r="N293" s="5"/>
      <c r="AW293" s="5"/>
    </row>
    <row r="294" spans="14:49">
      <c r="N294" s="5"/>
      <c r="AW294" s="5"/>
    </row>
    <row r="295" spans="14:49">
      <c r="N295" s="5"/>
      <c r="AW295" s="5"/>
    </row>
    <row r="296" spans="14:49">
      <c r="N296" s="5"/>
      <c r="AW296" s="5"/>
    </row>
    <row r="297" spans="14:49">
      <c r="N297" s="5"/>
      <c r="AW297" s="5"/>
    </row>
    <row r="298" spans="14:49">
      <c r="N298" s="5"/>
      <c r="AW298" s="5"/>
    </row>
    <row r="299" spans="14:49">
      <c r="N299" s="5"/>
      <c r="AW299" s="5"/>
    </row>
    <row r="300" spans="14:49">
      <c r="N300" s="5"/>
      <c r="AW300" s="5"/>
    </row>
    <row r="301" spans="14:49">
      <c r="N301" s="5"/>
      <c r="AW301" s="5"/>
    </row>
    <row r="302" spans="14:49">
      <c r="N302" s="5"/>
      <c r="AW302" s="5"/>
    </row>
    <row r="303" spans="14:49">
      <c r="N303" s="5"/>
      <c r="AW303" s="5"/>
    </row>
    <row r="304" spans="14:49">
      <c r="N304" s="5"/>
      <c r="AW304" s="5"/>
    </row>
    <row r="305" spans="14:49">
      <c r="N305" s="5"/>
      <c r="AW305" s="5"/>
    </row>
    <row r="306" spans="14:49">
      <c r="N306" s="5"/>
      <c r="AW306" s="5"/>
    </row>
    <row r="307" spans="14:49">
      <c r="N307" s="5"/>
      <c r="AW307" s="5"/>
    </row>
    <row r="308" spans="14:49">
      <c r="N308" s="5"/>
      <c r="AW308" s="5"/>
    </row>
    <row r="309" spans="14:49">
      <c r="N309" s="5"/>
      <c r="AW309" s="5"/>
    </row>
    <row r="310" spans="14:49">
      <c r="N310" s="5"/>
      <c r="AW310" s="5"/>
    </row>
    <row r="311" spans="14:49">
      <c r="N311" s="5"/>
      <c r="AW311" s="5"/>
    </row>
    <row r="312" spans="14:49">
      <c r="N312" s="5"/>
      <c r="AW312" s="5"/>
    </row>
    <row r="313" spans="14:49">
      <c r="N313" s="5"/>
      <c r="AW313" s="5"/>
    </row>
    <row r="314" spans="14:49">
      <c r="N314" s="5"/>
      <c r="AW314" s="5"/>
    </row>
    <row r="315" spans="14:49">
      <c r="N315" s="5"/>
      <c r="AW315" s="5"/>
    </row>
    <row r="316" spans="14:49">
      <c r="N316" s="5"/>
      <c r="AW316" s="5"/>
    </row>
    <row r="317" spans="14:49">
      <c r="N317" s="5"/>
      <c r="AW317" s="5"/>
    </row>
    <row r="318" spans="14:49">
      <c r="N318" s="5"/>
      <c r="AW318" s="5"/>
    </row>
    <row r="319" spans="14:49">
      <c r="N319" s="5"/>
      <c r="AW319" s="5"/>
    </row>
    <row r="320" spans="14:49">
      <c r="N320" s="5"/>
      <c r="AW320" s="5"/>
    </row>
    <row r="321" spans="14:49">
      <c r="N321" s="5"/>
      <c r="AW321" s="5"/>
    </row>
    <row r="322" spans="14:49">
      <c r="N322" s="5"/>
      <c r="AW322" s="5"/>
    </row>
    <row r="323" spans="14:49">
      <c r="N323" s="5"/>
      <c r="AW323" s="5"/>
    </row>
    <row r="324" spans="14:49">
      <c r="N324" s="5"/>
      <c r="AW324" s="5"/>
    </row>
    <row r="325" spans="14:49">
      <c r="N325" s="5"/>
      <c r="AW325" s="5"/>
    </row>
    <row r="326" spans="14:49">
      <c r="N326" s="5"/>
      <c r="AW326" s="5"/>
    </row>
    <row r="327" spans="14:49">
      <c r="N327" s="5"/>
      <c r="AW327" s="5"/>
    </row>
    <row r="328" spans="14:49">
      <c r="N328" s="5"/>
      <c r="AW328" s="5"/>
    </row>
    <row r="329" spans="14:49">
      <c r="N329" s="5"/>
      <c r="AW329" s="5"/>
    </row>
    <row r="330" spans="14:49">
      <c r="N330" s="5"/>
      <c r="AW330" s="5"/>
    </row>
    <row r="331" spans="14:49">
      <c r="N331" s="5"/>
      <c r="AW331" s="5"/>
    </row>
    <row r="332" spans="14:49">
      <c r="N332" s="5"/>
      <c r="AW332" s="5"/>
    </row>
    <row r="333" spans="14:49">
      <c r="N333" s="5"/>
      <c r="AW333" s="5"/>
    </row>
    <row r="334" spans="14:49">
      <c r="N334" s="5"/>
      <c r="AW334" s="5"/>
    </row>
    <row r="335" spans="14:49">
      <c r="N335" s="5"/>
      <c r="AW335" s="5"/>
    </row>
    <row r="336" spans="14:49">
      <c r="N336" s="5"/>
      <c r="AW336" s="5"/>
    </row>
    <row r="337" spans="14:49">
      <c r="N337" s="5"/>
      <c r="AW337" s="5"/>
    </row>
    <row r="338" spans="14:49">
      <c r="N338" s="5"/>
      <c r="AW338" s="5"/>
    </row>
    <row r="339" spans="14:49">
      <c r="N339" s="5"/>
      <c r="AW339" s="5"/>
    </row>
    <row r="340" spans="14:49">
      <c r="N340" s="5"/>
      <c r="AW340" s="5"/>
    </row>
    <row r="341" spans="14:49">
      <c r="N341" s="5"/>
      <c r="AW341" s="5"/>
    </row>
    <row r="342" spans="14:49">
      <c r="N342" s="5"/>
      <c r="AW342" s="5"/>
    </row>
    <row r="343" spans="14:49">
      <c r="N343" s="5"/>
      <c r="AW343" s="5"/>
    </row>
    <row r="344" spans="14:49">
      <c r="N344" s="5"/>
      <c r="AW344" s="5"/>
    </row>
    <row r="345" spans="14:49">
      <c r="N345" s="5"/>
      <c r="AW345" s="5"/>
    </row>
    <row r="346" spans="14:49">
      <c r="N346" s="5"/>
      <c r="AW346" s="5"/>
    </row>
    <row r="347" spans="14:49">
      <c r="N347" s="5"/>
      <c r="AW347" s="5"/>
    </row>
    <row r="348" spans="14:49">
      <c r="N348" s="5"/>
      <c r="AW348" s="5"/>
    </row>
    <row r="349" spans="14:49">
      <c r="N349" s="5"/>
      <c r="AW349" s="5"/>
    </row>
    <row r="350" spans="14:49">
      <c r="N350" s="5"/>
      <c r="AW350" s="5"/>
    </row>
    <row r="351" spans="14:49">
      <c r="N351" s="5"/>
      <c r="AW351" s="5"/>
    </row>
    <row r="352" spans="14:49">
      <c r="N352" s="5"/>
      <c r="AW352" s="5"/>
    </row>
    <row r="353" spans="14:49">
      <c r="N353" s="5"/>
      <c r="AW353" s="5"/>
    </row>
    <row r="354" spans="14:49">
      <c r="N354" s="5"/>
      <c r="AW354" s="5"/>
    </row>
    <row r="355" spans="14:49">
      <c r="N355" s="5"/>
      <c r="AW355" s="5"/>
    </row>
    <row r="356" spans="14:49">
      <c r="N356" s="5"/>
      <c r="AW356" s="5"/>
    </row>
    <row r="357" spans="14:49">
      <c r="N357" s="5"/>
      <c r="AW357" s="5"/>
    </row>
    <row r="358" spans="14:49">
      <c r="N358" s="5"/>
      <c r="AW358" s="5"/>
    </row>
    <row r="359" spans="14:49">
      <c r="N359" s="5"/>
      <c r="AW359" s="5"/>
    </row>
    <row r="360" spans="14:49">
      <c r="N360" s="5"/>
      <c r="AW360" s="5"/>
    </row>
    <row r="361" spans="14:49">
      <c r="N361" s="5"/>
      <c r="AW361" s="5"/>
    </row>
    <row r="362" spans="14:49">
      <c r="N362" s="5"/>
      <c r="AW362" s="5"/>
    </row>
    <row r="363" spans="14:49">
      <c r="N363" s="5"/>
      <c r="AW363" s="5"/>
    </row>
    <row r="364" spans="14:49">
      <c r="N364" s="5"/>
      <c r="AW364" s="5"/>
    </row>
    <row r="365" spans="14:49">
      <c r="N365" s="5"/>
      <c r="AW365" s="5"/>
    </row>
    <row r="366" spans="14:49">
      <c r="N366" s="5"/>
      <c r="AW366" s="5"/>
    </row>
    <row r="367" spans="14:49">
      <c r="N367" s="5"/>
      <c r="AW367" s="5"/>
    </row>
    <row r="368" spans="14:49">
      <c r="N368" s="5"/>
      <c r="AW368" s="5"/>
    </row>
    <row r="369" spans="14:49">
      <c r="N369" s="5"/>
      <c r="AW369" s="5"/>
    </row>
    <row r="370" spans="14:49">
      <c r="N370" s="5"/>
      <c r="AW370" s="5"/>
    </row>
    <row r="371" spans="14:49">
      <c r="N371" s="5"/>
      <c r="AW371" s="5"/>
    </row>
    <row r="372" spans="14:49">
      <c r="N372" s="5"/>
      <c r="AW372" s="5"/>
    </row>
    <row r="373" spans="14:49">
      <c r="N373" s="5"/>
      <c r="AW373" s="5"/>
    </row>
    <row r="374" spans="14:49">
      <c r="N374" s="5"/>
      <c r="AW374" s="5"/>
    </row>
    <row r="375" spans="14:49">
      <c r="N375" s="5"/>
      <c r="AW375" s="5"/>
    </row>
    <row r="376" spans="14:49">
      <c r="N376" s="5"/>
      <c r="AW376" s="5"/>
    </row>
    <row r="377" spans="14:49">
      <c r="N377" s="5"/>
      <c r="AW377" s="5"/>
    </row>
    <row r="378" spans="14:49">
      <c r="N378" s="5"/>
      <c r="AW378" s="5"/>
    </row>
    <row r="379" spans="14:49">
      <c r="N379" s="5"/>
      <c r="AW379" s="5"/>
    </row>
    <row r="380" spans="14:49">
      <c r="N380" s="5"/>
      <c r="AW380" s="5"/>
    </row>
    <row r="381" spans="14:49">
      <c r="N381" s="5"/>
      <c r="AW381" s="5"/>
    </row>
    <row r="382" spans="14:49">
      <c r="N382" s="5"/>
      <c r="AW382" s="5"/>
    </row>
    <row r="383" spans="14:49">
      <c r="N383" s="5"/>
      <c r="AW383" s="5"/>
    </row>
    <row r="384" spans="14:49">
      <c r="N384" s="5"/>
      <c r="AW384" s="5"/>
    </row>
    <row r="385" spans="14:49">
      <c r="N385" s="5"/>
      <c r="AW385" s="5"/>
    </row>
    <row r="386" spans="14:49">
      <c r="N386" s="5"/>
      <c r="AW386" s="5"/>
    </row>
    <row r="387" spans="14:49">
      <c r="N387" s="5"/>
      <c r="AW387" s="5"/>
    </row>
    <row r="388" spans="14:49">
      <c r="N388" s="5"/>
      <c r="AW388" s="5"/>
    </row>
    <row r="389" spans="14:49">
      <c r="N389" s="5"/>
      <c r="AW389" s="5"/>
    </row>
    <row r="390" spans="14:49">
      <c r="N390" s="5"/>
      <c r="AW390" s="5"/>
    </row>
    <row r="391" spans="14:49">
      <c r="N391" s="5"/>
      <c r="AW391" s="5"/>
    </row>
    <row r="392" spans="14:49">
      <c r="N392" s="5"/>
      <c r="AW392" s="5"/>
    </row>
    <row r="393" spans="14:49">
      <c r="N393" s="5"/>
      <c r="AW393" s="5"/>
    </row>
    <row r="394" spans="14:49">
      <c r="N394" s="5"/>
      <c r="AW394" s="5"/>
    </row>
    <row r="395" spans="14:49">
      <c r="N395" s="5"/>
      <c r="AW395" s="5"/>
    </row>
    <row r="396" spans="14:49">
      <c r="N396" s="5"/>
      <c r="AW396" s="5"/>
    </row>
    <row r="397" spans="14:49">
      <c r="N397" s="5"/>
      <c r="AW397" s="5"/>
    </row>
    <row r="398" spans="14:49">
      <c r="N398" s="5"/>
      <c r="AW398" s="5"/>
    </row>
    <row r="399" spans="14:49">
      <c r="N399" s="5"/>
      <c r="AW399" s="5"/>
    </row>
    <row r="400" spans="14:49">
      <c r="N400" s="5"/>
      <c r="AW400" s="5"/>
    </row>
    <row r="401" spans="14:49">
      <c r="N401" s="5"/>
      <c r="AW401" s="5"/>
    </row>
    <row r="402" spans="14:49">
      <c r="N402" s="5"/>
      <c r="AW402" s="5"/>
    </row>
    <row r="403" spans="14:49">
      <c r="N403" s="5"/>
      <c r="AW403" s="5"/>
    </row>
    <row r="404" spans="14:49">
      <c r="N404" s="5"/>
      <c r="AW404" s="5"/>
    </row>
    <row r="405" spans="14:49">
      <c r="N405" s="5"/>
      <c r="AW405" s="5"/>
    </row>
    <row r="406" spans="14:49">
      <c r="N406" s="5"/>
      <c r="AW406" s="5"/>
    </row>
    <row r="407" spans="14:49">
      <c r="N407" s="5"/>
      <c r="AW407" s="5"/>
    </row>
    <row r="408" spans="14:49">
      <c r="N408" s="5"/>
      <c r="AW408" s="5"/>
    </row>
    <row r="409" spans="14:49">
      <c r="N409" s="5"/>
      <c r="AW409" s="5"/>
    </row>
    <row r="410" spans="14:49">
      <c r="N410" s="5"/>
      <c r="AW410" s="5"/>
    </row>
    <row r="411" spans="14:49">
      <c r="N411" s="5"/>
      <c r="AW411" s="5"/>
    </row>
    <row r="412" spans="14:49">
      <c r="N412" s="5"/>
      <c r="AW412" s="5"/>
    </row>
    <row r="413" spans="14:49">
      <c r="N413" s="5"/>
      <c r="AW413" s="5"/>
    </row>
    <row r="414" spans="14:49">
      <c r="N414" s="5"/>
      <c r="AW414" s="5"/>
    </row>
    <row r="415" spans="14:49">
      <c r="N415" s="5"/>
      <c r="AW415" s="5"/>
    </row>
    <row r="416" spans="14:49">
      <c r="N416" s="5"/>
      <c r="AW416" s="5"/>
    </row>
    <row r="417" spans="14:49">
      <c r="N417" s="5"/>
      <c r="AW417" s="5"/>
    </row>
    <row r="418" spans="14:49">
      <c r="N418" s="5"/>
      <c r="AW418" s="5"/>
    </row>
    <row r="419" spans="14:49">
      <c r="N419" s="5"/>
      <c r="AW419" s="5"/>
    </row>
    <row r="420" spans="14:49">
      <c r="N420" s="5"/>
      <c r="AW420" s="5"/>
    </row>
    <row r="421" spans="14:49">
      <c r="N421" s="5"/>
      <c r="AW421" s="5"/>
    </row>
    <row r="422" spans="14:49">
      <c r="N422" s="5"/>
      <c r="AW422" s="5"/>
    </row>
    <row r="423" spans="14:49">
      <c r="N423" s="5"/>
      <c r="AW423" s="5"/>
    </row>
    <row r="424" spans="14:49">
      <c r="N424" s="5"/>
      <c r="AW424" s="5"/>
    </row>
    <row r="425" spans="14:49">
      <c r="N425" s="5"/>
      <c r="AW425" s="5"/>
    </row>
    <row r="426" spans="14:49">
      <c r="N426" s="5"/>
      <c r="AW426" s="5"/>
    </row>
    <row r="427" spans="14:49">
      <c r="N427" s="5"/>
      <c r="AW427" s="5"/>
    </row>
    <row r="428" spans="14:49">
      <c r="N428" s="5"/>
      <c r="AW428" s="5"/>
    </row>
    <row r="429" spans="14:49">
      <c r="N429" s="5"/>
      <c r="AW429" s="5"/>
    </row>
    <row r="430" spans="14:49">
      <c r="N430" s="5"/>
      <c r="AW430" s="5"/>
    </row>
    <row r="431" spans="14:49">
      <c r="N431" s="5"/>
      <c r="AW431" s="5"/>
    </row>
    <row r="432" spans="14:49">
      <c r="N432" s="5"/>
      <c r="AW432" s="5"/>
    </row>
    <row r="433" spans="14:49">
      <c r="N433" s="5"/>
      <c r="AW433" s="5"/>
    </row>
    <row r="434" spans="14:49">
      <c r="N434" s="5"/>
      <c r="AW434" s="5"/>
    </row>
    <row r="435" spans="14:49">
      <c r="N435" s="5"/>
      <c r="AW435" s="5"/>
    </row>
    <row r="436" spans="14:49">
      <c r="N436" s="5"/>
      <c r="AW436" s="5"/>
    </row>
    <row r="437" spans="14:49">
      <c r="N437" s="5"/>
      <c r="AW437" s="5"/>
    </row>
    <row r="438" spans="14:49">
      <c r="N438" s="5"/>
      <c r="AW438" s="5"/>
    </row>
    <row r="439" spans="14:49">
      <c r="N439" s="5"/>
      <c r="AW439" s="5"/>
    </row>
    <row r="440" spans="14:49">
      <c r="N440" s="5"/>
      <c r="AW440" s="5"/>
    </row>
    <row r="441" spans="14:49">
      <c r="N441" s="5"/>
      <c r="AW441" s="5"/>
    </row>
    <row r="442" spans="14:49">
      <c r="N442" s="5"/>
      <c r="AW442" s="5"/>
    </row>
    <row r="443" spans="14:49">
      <c r="N443" s="5"/>
      <c r="AW443" s="5"/>
    </row>
    <row r="444" spans="14:49">
      <c r="N444" s="5"/>
      <c r="AW444" s="5"/>
    </row>
    <row r="445" spans="14:49">
      <c r="N445" s="5"/>
      <c r="AW445" s="5"/>
    </row>
    <row r="446" spans="14:49">
      <c r="N446" s="5"/>
      <c r="AW446" s="5"/>
    </row>
    <row r="447" spans="14:49">
      <c r="N447" s="5"/>
      <c r="AW447" s="5"/>
    </row>
    <row r="448" spans="14:49">
      <c r="N448" s="5"/>
      <c r="AW448" s="5"/>
    </row>
    <row r="449" spans="14:49">
      <c r="N449" s="5"/>
      <c r="AW449" s="5"/>
    </row>
    <row r="450" spans="14:49">
      <c r="N450" s="5"/>
      <c r="AW450" s="5"/>
    </row>
    <row r="451" spans="14:49">
      <c r="N451" s="5"/>
      <c r="AW451" s="5"/>
    </row>
    <row r="452" spans="14:49">
      <c r="N452" s="5"/>
      <c r="AW452" s="5"/>
    </row>
    <row r="453" spans="14:49">
      <c r="N453" s="5"/>
      <c r="AW453" s="5"/>
    </row>
    <row r="454" spans="14:49">
      <c r="N454" s="5"/>
      <c r="AW454" s="5"/>
    </row>
    <row r="455" spans="14:49">
      <c r="N455" s="5"/>
      <c r="AW455" s="5"/>
    </row>
    <row r="456" spans="14:49">
      <c r="N456" s="5"/>
      <c r="AW456" s="5"/>
    </row>
    <row r="457" spans="14:49">
      <c r="N457" s="5"/>
      <c r="AW457" s="5"/>
    </row>
    <row r="458" spans="14:49">
      <c r="N458" s="5"/>
      <c r="AW458" s="5"/>
    </row>
    <row r="459" spans="14:49">
      <c r="N459" s="5"/>
      <c r="AW459" s="5"/>
    </row>
    <row r="460" spans="14:49">
      <c r="N460" s="5"/>
      <c r="AW460" s="5"/>
    </row>
    <row r="461" spans="14:49">
      <c r="N461" s="5"/>
      <c r="AW461" s="5"/>
    </row>
    <row r="462" spans="14:49">
      <c r="N462" s="5"/>
      <c r="AW462" s="5"/>
    </row>
    <row r="463" spans="14:49">
      <c r="N463" s="5"/>
      <c r="AW463" s="5"/>
    </row>
    <row r="464" spans="14:49">
      <c r="N464" s="5"/>
      <c r="AW464" s="5"/>
    </row>
    <row r="465" spans="14:49">
      <c r="N465" s="5"/>
      <c r="AW465" s="5"/>
    </row>
    <row r="466" spans="14:49">
      <c r="N466" s="5"/>
      <c r="AW466" s="5"/>
    </row>
    <row r="467" spans="14:49">
      <c r="N467" s="5"/>
      <c r="AW467" s="5"/>
    </row>
    <row r="468" spans="14:49">
      <c r="N468" s="5"/>
      <c r="AW468" s="5"/>
    </row>
    <row r="469" spans="14:49">
      <c r="N469" s="5"/>
      <c r="AW469" s="5"/>
    </row>
    <row r="470" spans="14:49">
      <c r="N470" s="5"/>
      <c r="AW470" s="5"/>
    </row>
    <row r="471" spans="14:49">
      <c r="N471" s="5"/>
      <c r="AW471" s="5"/>
    </row>
    <row r="472" spans="14:49">
      <c r="N472" s="5"/>
      <c r="AW472" s="5"/>
    </row>
    <row r="473" spans="14:49">
      <c r="N473" s="5"/>
      <c r="AW473" s="5"/>
    </row>
    <row r="474" spans="14:49">
      <c r="N474" s="5"/>
      <c r="AW474" s="5"/>
    </row>
    <row r="475" spans="14:49">
      <c r="N475" s="5"/>
      <c r="AW475" s="5"/>
    </row>
    <row r="476" spans="14:49">
      <c r="N476" s="5"/>
      <c r="AW476" s="5"/>
    </row>
    <row r="477" spans="14:49">
      <c r="N477" s="5"/>
      <c r="AW477" s="5"/>
    </row>
    <row r="478" spans="14:49">
      <c r="N478" s="5"/>
      <c r="AW478" s="5"/>
    </row>
    <row r="479" spans="14:49">
      <c r="N479" s="5"/>
      <c r="AW479" s="5"/>
    </row>
    <row r="480" spans="14:49">
      <c r="N480" s="5"/>
      <c r="AW480" s="5"/>
    </row>
    <row r="481" spans="14:49">
      <c r="N481" s="5"/>
      <c r="AW481" s="5"/>
    </row>
    <row r="482" spans="14:49">
      <c r="N482" s="5"/>
      <c r="AW482" s="5"/>
    </row>
    <row r="483" spans="14:49">
      <c r="N483" s="5"/>
      <c r="AW483" s="5"/>
    </row>
    <row r="484" spans="14:49">
      <c r="N484" s="5"/>
      <c r="AW484" s="5"/>
    </row>
    <row r="485" spans="14:49">
      <c r="N485" s="5"/>
      <c r="AW485" s="5"/>
    </row>
    <row r="486" spans="14:49">
      <c r="N486" s="5"/>
      <c r="AW486" s="5"/>
    </row>
    <row r="487" spans="14:49">
      <c r="N487" s="5"/>
      <c r="AW487" s="5"/>
    </row>
    <row r="488" spans="14:49">
      <c r="N488" s="5"/>
      <c r="AW488" s="5"/>
    </row>
    <row r="489" spans="14:49">
      <c r="N489" s="5"/>
      <c r="AW489" s="5"/>
    </row>
    <row r="490" spans="14:49">
      <c r="N490" s="5"/>
      <c r="AW490" s="5"/>
    </row>
    <row r="491" spans="14:49">
      <c r="N491" s="5"/>
      <c r="AW491" s="5"/>
    </row>
    <row r="492" spans="14:49">
      <c r="N492" s="5"/>
      <c r="AW492" s="5"/>
    </row>
    <row r="493" spans="14:49">
      <c r="N493" s="5"/>
      <c r="AW493" s="5"/>
    </row>
    <row r="494" spans="14:49">
      <c r="N494" s="5"/>
      <c r="AW494" s="5"/>
    </row>
    <row r="495" spans="14:49">
      <c r="N495" s="5"/>
      <c r="AW495" s="5"/>
    </row>
    <row r="496" spans="14:49">
      <c r="N496" s="5"/>
      <c r="AW496" s="5"/>
    </row>
    <row r="497" spans="14:49">
      <c r="N497" s="5"/>
      <c r="AW497" s="5"/>
    </row>
    <row r="498" spans="14:49">
      <c r="N498" s="5"/>
      <c r="AW498" s="5"/>
    </row>
    <row r="499" spans="14:49">
      <c r="N499" s="5"/>
      <c r="AW499" s="5"/>
    </row>
    <row r="500" spans="14:49">
      <c r="N500" s="5"/>
      <c r="AW500" s="5"/>
    </row>
    <row r="501" spans="14:49">
      <c r="N501" s="5"/>
      <c r="AW501" s="5"/>
    </row>
    <row r="502" spans="14:49">
      <c r="N502" s="5"/>
      <c r="AW502" s="5"/>
    </row>
    <row r="503" spans="14:49">
      <c r="N503" s="5"/>
      <c r="AW503" s="5"/>
    </row>
    <row r="504" spans="14:49">
      <c r="N504" s="5"/>
      <c r="AW504" s="5"/>
    </row>
    <row r="505" spans="14:49">
      <c r="N505" s="5"/>
      <c r="AW505" s="5"/>
    </row>
    <row r="506" spans="14:49">
      <c r="N506" s="5"/>
      <c r="AW506" s="5"/>
    </row>
    <row r="507" spans="14:49">
      <c r="N507" s="5"/>
      <c r="AW507" s="5"/>
    </row>
    <row r="508" spans="14:49">
      <c r="N508" s="5"/>
      <c r="AW508" s="5"/>
    </row>
    <row r="509" spans="14:49">
      <c r="N509" s="5"/>
      <c r="AW509" s="5"/>
    </row>
    <row r="510" spans="14:49">
      <c r="N510" s="5"/>
      <c r="AW510" s="5"/>
    </row>
    <row r="511" spans="14:49">
      <c r="N511" s="5"/>
      <c r="AW511" s="5"/>
    </row>
    <row r="512" spans="14:49">
      <c r="N512" s="5"/>
      <c r="AW512" s="5"/>
    </row>
    <row r="513" spans="14:49">
      <c r="N513" s="5"/>
      <c r="AW513" s="5"/>
    </row>
    <row r="514" spans="14:49">
      <c r="N514" s="5"/>
      <c r="AW514" s="5"/>
    </row>
    <row r="515" spans="14:49">
      <c r="N515" s="5"/>
      <c r="AW515" s="5"/>
    </row>
    <row r="516" spans="14:49">
      <c r="N516" s="5"/>
      <c r="AW516" s="5"/>
    </row>
    <row r="517" spans="14:49">
      <c r="N517" s="5"/>
      <c r="AW517" s="5"/>
    </row>
    <row r="518" spans="14:49">
      <c r="N518" s="5"/>
      <c r="AW518" s="5"/>
    </row>
    <row r="519" spans="14:49">
      <c r="N519" s="5"/>
      <c r="AW519" s="5"/>
    </row>
    <row r="520" spans="14:49">
      <c r="N520" s="5"/>
      <c r="AW520" s="5"/>
    </row>
    <row r="521" spans="14:49">
      <c r="N521" s="5"/>
      <c r="AW521" s="5"/>
    </row>
    <row r="522" spans="14:49">
      <c r="N522" s="5"/>
      <c r="AW522" s="5"/>
    </row>
    <row r="523" spans="14:49">
      <c r="N523" s="5"/>
      <c r="AW523" s="5"/>
    </row>
    <row r="524" spans="14:49">
      <c r="N524" s="5"/>
      <c r="AW524" s="5"/>
    </row>
    <row r="525" spans="14:49">
      <c r="N525" s="5"/>
      <c r="AW525" s="5"/>
    </row>
    <row r="526" spans="14:49">
      <c r="N526" s="5"/>
      <c r="AW526" s="5"/>
    </row>
    <row r="527" spans="14:49">
      <c r="N527" s="5"/>
      <c r="AW527" s="5"/>
    </row>
    <row r="528" spans="14:49">
      <c r="N528" s="5"/>
      <c r="AW528" s="5"/>
    </row>
    <row r="529" spans="14:49">
      <c r="N529" s="5"/>
      <c r="AW529" s="5"/>
    </row>
    <row r="530" spans="14:49">
      <c r="N530" s="5"/>
      <c r="AW530" s="5"/>
    </row>
    <row r="531" spans="14:49">
      <c r="N531" s="5"/>
      <c r="AW531" s="5"/>
    </row>
    <row r="532" spans="14:49">
      <c r="N532" s="5"/>
      <c r="AW532" s="5"/>
    </row>
    <row r="533" spans="14:49">
      <c r="N533" s="5"/>
      <c r="AW533" s="5"/>
    </row>
    <row r="534" spans="14:49">
      <c r="N534" s="5"/>
      <c r="AW534" s="5"/>
    </row>
    <row r="535" spans="14:49">
      <c r="N535" s="5"/>
      <c r="AW535" s="5"/>
    </row>
    <row r="536" spans="14:49">
      <c r="N536" s="5"/>
      <c r="AW536" s="5"/>
    </row>
    <row r="537" spans="14:49">
      <c r="N537" s="5"/>
      <c r="AW537" s="5"/>
    </row>
    <row r="538" spans="14:49">
      <c r="N538" s="5"/>
      <c r="AW538" s="5"/>
    </row>
    <row r="539" spans="14:49">
      <c r="N539" s="5"/>
      <c r="AW539" s="5"/>
    </row>
    <row r="540" spans="14:49">
      <c r="N540" s="5"/>
      <c r="AW540" s="5"/>
    </row>
    <row r="541" spans="14:49">
      <c r="N541" s="5"/>
      <c r="AW541" s="5"/>
    </row>
    <row r="542" spans="14:49">
      <c r="N542" s="5"/>
      <c r="AW542" s="5"/>
    </row>
    <row r="543" spans="14:49">
      <c r="N543" s="5"/>
      <c r="AW543" s="5"/>
    </row>
    <row r="544" spans="14:49">
      <c r="N544" s="5"/>
      <c r="AW544" s="5"/>
    </row>
    <row r="545" spans="14:49">
      <c r="N545" s="5"/>
      <c r="AW545" s="5"/>
    </row>
    <row r="546" spans="14:49">
      <c r="N546" s="5"/>
      <c r="AW546" s="5"/>
    </row>
    <row r="547" spans="14:49">
      <c r="N547" s="5"/>
      <c r="AW547" s="5"/>
    </row>
    <row r="548" spans="14:49">
      <c r="N548" s="5"/>
      <c r="AW548" s="5"/>
    </row>
    <row r="549" spans="14:49">
      <c r="N549" s="5"/>
      <c r="AW549" s="5"/>
    </row>
    <row r="550" spans="14:49">
      <c r="N550" s="5"/>
      <c r="AW550" s="5"/>
    </row>
    <row r="551" spans="14:49">
      <c r="N551" s="5"/>
      <c r="AW551" s="5"/>
    </row>
    <row r="552" spans="14:49">
      <c r="N552" s="5"/>
      <c r="AW552" s="5"/>
    </row>
    <row r="553" spans="14:49">
      <c r="N553" s="5"/>
      <c r="AW553" s="5"/>
    </row>
    <row r="554" spans="14:49">
      <c r="N554" s="5"/>
      <c r="AW554" s="5"/>
    </row>
    <row r="555" spans="14:49">
      <c r="N555" s="5"/>
      <c r="AW555" s="5"/>
    </row>
    <row r="556" spans="14:49">
      <c r="N556" s="5"/>
      <c r="AW556" s="5"/>
    </row>
    <row r="557" spans="14:49">
      <c r="N557" s="5"/>
      <c r="AW557" s="5"/>
    </row>
    <row r="558" spans="14:49">
      <c r="N558" s="5"/>
      <c r="AW558" s="5"/>
    </row>
    <row r="559" spans="14:49">
      <c r="N559" s="5"/>
      <c r="AW559" s="5"/>
    </row>
    <row r="560" spans="14:49">
      <c r="N560" s="5"/>
      <c r="AW560" s="5"/>
    </row>
    <row r="561" spans="14:49">
      <c r="N561" s="5"/>
      <c r="AW561" s="5"/>
    </row>
    <row r="562" spans="14:49">
      <c r="N562" s="5"/>
      <c r="AW562" s="5"/>
    </row>
    <row r="563" spans="14:49">
      <c r="N563" s="5"/>
      <c r="AW563" s="5"/>
    </row>
    <row r="564" spans="14:49">
      <c r="N564" s="5"/>
      <c r="AW564" s="5"/>
    </row>
    <row r="565" spans="14:49">
      <c r="N565" s="5"/>
      <c r="AW565" s="5"/>
    </row>
    <row r="566" spans="14:49">
      <c r="N566" s="5"/>
      <c r="AW566" s="5"/>
    </row>
    <row r="567" spans="14:49">
      <c r="N567" s="5"/>
      <c r="AW567" s="5"/>
    </row>
    <row r="568" spans="14:49">
      <c r="N568" s="5"/>
      <c r="AW568" s="5"/>
    </row>
    <row r="569" spans="14:49">
      <c r="N569" s="5"/>
      <c r="AW569" s="5"/>
    </row>
    <row r="570" spans="14:49">
      <c r="N570" s="5"/>
      <c r="AW570" s="5"/>
    </row>
    <row r="571" spans="14:49">
      <c r="N571" s="5"/>
      <c r="AW571" s="5"/>
    </row>
    <row r="572" spans="14:49">
      <c r="N572" s="5"/>
      <c r="AW572" s="5"/>
    </row>
    <row r="573" spans="14:49">
      <c r="N573" s="5"/>
      <c r="AW573" s="5"/>
    </row>
    <row r="574" spans="14:49">
      <c r="N574" s="5"/>
      <c r="AW574" s="5"/>
    </row>
    <row r="575" spans="14:49">
      <c r="N575" s="5"/>
      <c r="AW575" s="5"/>
    </row>
    <row r="576" spans="14:49">
      <c r="N576" s="5"/>
      <c r="AW576" s="5"/>
    </row>
    <row r="577" spans="14:49">
      <c r="N577" s="5"/>
      <c r="AW577" s="5"/>
    </row>
    <row r="578" spans="14:49">
      <c r="N578" s="5"/>
      <c r="AW578" s="5"/>
    </row>
    <row r="579" spans="14:49">
      <c r="N579" s="5"/>
      <c r="AW579" s="5"/>
    </row>
    <row r="580" spans="14:49">
      <c r="N580" s="5"/>
      <c r="AW580" s="5"/>
    </row>
    <row r="581" spans="14:49">
      <c r="N581" s="5"/>
      <c r="AW581" s="5"/>
    </row>
    <row r="582" spans="14:49">
      <c r="N582" s="5"/>
      <c r="AW582" s="5"/>
    </row>
    <row r="583" spans="14:49">
      <c r="N583" s="5"/>
      <c r="AW583" s="5"/>
    </row>
    <row r="584" spans="14:49">
      <c r="N584" s="5"/>
      <c r="AW584" s="5"/>
    </row>
    <row r="585" spans="14:49">
      <c r="N585" s="5"/>
      <c r="AW585" s="5"/>
    </row>
    <row r="586" spans="14:49">
      <c r="N586" s="5"/>
      <c r="AW586" s="5"/>
    </row>
    <row r="587" spans="14:49">
      <c r="N587" s="5"/>
      <c r="AW587" s="5"/>
    </row>
    <row r="588" spans="14:49">
      <c r="N588" s="5"/>
      <c r="AW588" s="5"/>
    </row>
    <row r="589" spans="14:49">
      <c r="N589" s="5"/>
      <c r="AW589" s="5"/>
    </row>
    <row r="590" spans="14:49">
      <c r="N590" s="5"/>
      <c r="AW590" s="5"/>
    </row>
    <row r="591" spans="14:49">
      <c r="N591" s="5"/>
      <c r="AW591" s="5"/>
    </row>
    <row r="592" spans="14:49">
      <c r="N592" s="5"/>
      <c r="AW592" s="5"/>
    </row>
    <row r="593" spans="14:49">
      <c r="N593" s="5"/>
      <c r="AW593" s="5"/>
    </row>
    <row r="594" spans="14:49">
      <c r="N594" s="5"/>
      <c r="AW594" s="5"/>
    </row>
    <row r="595" spans="14:49">
      <c r="N595" s="5"/>
      <c r="AW595" s="5"/>
    </row>
    <row r="596" spans="14:49">
      <c r="N596" s="5"/>
      <c r="AW596" s="5"/>
    </row>
    <row r="597" spans="14:49">
      <c r="N597" s="5"/>
      <c r="AW597" s="5"/>
    </row>
    <row r="598" spans="14:49">
      <c r="N598" s="5"/>
      <c r="AW598" s="5"/>
    </row>
    <row r="599" spans="14:49">
      <c r="N599" s="5"/>
      <c r="AW599" s="5"/>
    </row>
    <row r="600" spans="14:49">
      <c r="N600" s="5"/>
      <c r="AW600" s="5"/>
    </row>
    <row r="601" spans="14:49">
      <c r="N601" s="5"/>
      <c r="AW601" s="5"/>
    </row>
    <row r="602" spans="14:49">
      <c r="N602" s="5"/>
      <c r="AW602" s="5"/>
    </row>
    <row r="603" spans="14:49">
      <c r="N603" s="5"/>
      <c r="AW603" s="5"/>
    </row>
    <row r="604" spans="14:49">
      <c r="N604" s="5"/>
      <c r="AW604" s="5"/>
    </row>
    <row r="605" spans="14:49">
      <c r="N605" s="5"/>
      <c r="AW605" s="5"/>
    </row>
    <row r="606" spans="14:49">
      <c r="N606" s="5"/>
      <c r="AW606" s="5"/>
    </row>
    <row r="607" spans="14:49">
      <c r="N607" s="5"/>
      <c r="AW607" s="5"/>
    </row>
    <row r="608" spans="14:49">
      <c r="N608" s="5"/>
      <c r="AW608" s="5"/>
    </row>
    <row r="609" spans="14:49">
      <c r="N609" s="5"/>
      <c r="AW609" s="5"/>
    </row>
    <row r="610" spans="14:49">
      <c r="N610" s="5"/>
      <c r="AW610" s="5"/>
    </row>
    <row r="611" spans="14:49">
      <c r="N611" s="5"/>
      <c r="AW611" s="5"/>
    </row>
    <row r="612" spans="14:49">
      <c r="N612" s="5"/>
      <c r="AW612" s="5"/>
    </row>
    <row r="613" spans="14:49">
      <c r="N613" s="5"/>
      <c r="AW613" s="5"/>
    </row>
    <row r="614" spans="14:49">
      <c r="N614" s="5"/>
      <c r="AW614" s="5"/>
    </row>
    <row r="615" spans="14:49">
      <c r="N615" s="5"/>
      <c r="AW615" s="5"/>
    </row>
    <row r="616" spans="14:49">
      <c r="N616" s="5"/>
      <c r="AW616" s="5"/>
    </row>
    <row r="617" spans="14:49">
      <c r="N617" s="5"/>
      <c r="AW617" s="5"/>
    </row>
    <row r="618" spans="14:49">
      <c r="N618" s="5"/>
      <c r="AW618" s="5"/>
    </row>
    <row r="619" spans="14:49">
      <c r="N619" s="5"/>
      <c r="AW619" s="5"/>
    </row>
    <row r="620" spans="14:49">
      <c r="N620" s="5"/>
      <c r="AW620" s="5"/>
    </row>
    <row r="621" spans="14:49">
      <c r="N621" s="5"/>
      <c r="AW621" s="5"/>
    </row>
    <row r="622" spans="14:49">
      <c r="N622" s="5"/>
      <c r="AW622" s="5"/>
    </row>
    <row r="623" spans="14:49">
      <c r="N623" s="5"/>
      <c r="AW623" s="5"/>
    </row>
    <row r="624" spans="14:49">
      <c r="N624" s="5"/>
      <c r="AW624" s="5"/>
    </row>
    <row r="625" spans="14:49">
      <c r="N625" s="5"/>
      <c r="AW625" s="5"/>
    </row>
    <row r="626" spans="14:49">
      <c r="N626" s="5"/>
      <c r="AW626" s="5"/>
    </row>
    <row r="627" spans="14:49">
      <c r="N627" s="5"/>
      <c r="AW627" s="5"/>
    </row>
    <row r="628" spans="14:49">
      <c r="N628" s="5"/>
      <c r="AW628" s="5"/>
    </row>
    <row r="629" spans="14:49">
      <c r="N629" s="5"/>
      <c r="AW629" s="5"/>
    </row>
    <row r="630" spans="14:49">
      <c r="N630" s="5"/>
      <c r="AW630" s="5"/>
    </row>
    <row r="631" spans="14:49">
      <c r="N631" s="5"/>
      <c r="AW631" s="5"/>
    </row>
    <row r="632" spans="14:49">
      <c r="N632" s="5"/>
      <c r="AW632" s="5"/>
    </row>
    <row r="633" spans="14:49">
      <c r="N633" s="5"/>
      <c r="AW633" s="5"/>
    </row>
    <row r="634" spans="14:49">
      <c r="N634" s="5"/>
      <c r="AW634" s="5"/>
    </row>
    <row r="635" spans="14:49">
      <c r="N635" s="5"/>
      <c r="AW635" s="5"/>
    </row>
    <row r="636" spans="14:49">
      <c r="N636" s="5"/>
      <c r="AW636" s="5"/>
    </row>
    <row r="637" spans="14:49">
      <c r="N637" s="5"/>
      <c r="AW637" s="5"/>
    </row>
    <row r="638" spans="14:49">
      <c r="N638" s="5"/>
      <c r="AW638" s="5"/>
    </row>
    <row r="639" spans="14:49">
      <c r="N639" s="5"/>
      <c r="AW639" s="5"/>
    </row>
    <row r="640" spans="14:49">
      <c r="N640" s="5"/>
      <c r="AW640" s="5"/>
    </row>
    <row r="641" spans="14:49">
      <c r="N641" s="5"/>
      <c r="AW641" s="5"/>
    </row>
    <row r="642" spans="14:49">
      <c r="N642" s="5"/>
      <c r="AW642" s="5"/>
    </row>
    <row r="643" spans="14:49">
      <c r="N643" s="5"/>
      <c r="AW643" s="5"/>
    </row>
    <row r="644" spans="14:49">
      <c r="N644" s="5"/>
      <c r="AW644" s="5"/>
    </row>
    <row r="645" spans="14:49">
      <c r="N645" s="5"/>
      <c r="AW645" s="5"/>
    </row>
    <row r="646" spans="14:49">
      <c r="N646" s="5"/>
      <c r="AW646" s="5"/>
    </row>
    <row r="647" spans="14:49">
      <c r="N647" s="5"/>
      <c r="AW647" s="5"/>
    </row>
    <row r="648" spans="14:49">
      <c r="N648" s="5"/>
      <c r="AW648" s="5"/>
    </row>
    <row r="649" spans="14:49">
      <c r="N649" s="5"/>
      <c r="AW649" s="5"/>
    </row>
    <row r="650" spans="14:49">
      <c r="N650" s="5"/>
      <c r="AW650" s="5"/>
    </row>
    <row r="651" spans="14:49">
      <c r="N651" s="5"/>
      <c r="AW651" s="5"/>
    </row>
    <row r="652" spans="14:49">
      <c r="N652" s="5"/>
      <c r="AW652" s="5"/>
    </row>
    <row r="653" spans="14:49">
      <c r="N653" s="5"/>
      <c r="AW653" s="5"/>
    </row>
    <row r="654" spans="14:49">
      <c r="N654" s="5"/>
      <c r="AW654" s="5"/>
    </row>
    <row r="655" spans="14:49">
      <c r="N655" s="5"/>
      <c r="AW655" s="5"/>
    </row>
    <row r="656" spans="14:49">
      <c r="N656" s="5"/>
      <c r="AW656" s="5"/>
    </row>
    <row r="657" spans="14:49">
      <c r="N657" s="5"/>
      <c r="AW657" s="5"/>
    </row>
    <row r="658" spans="14:49">
      <c r="N658" s="5"/>
      <c r="AW658" s="5"/>
    </row>
    <row r="659" spans="14:49">
      <c r="N659" s="5"/>
      <c r="AW659" s="5"/>
    </row>
    <row r="660" spans="14:49">
      <c r="N660" s="5"/>
      <c r="AW660" s="5"/>
    </row>
    <row r="661" spans="14:49">
      <c r="N661" s="5"/>
      <c r="AW661" s="5"/>
    </row>
    <row r="662" spans="14:49">
      <c r="N662" s="5"/>
      <c r="AW662" s="5"/>
    </row>
    <row r="663" spans="14:49">
      <c r="N663" s="5"/>
      <c r="AW663" s="5"/>
    </row>
    <row r="664" spans="14:49">
      <c r="N664" s="5"/>
      <c r="AW664" s="5"/>
    </row>
    <row r="665" spans="14:49">
      <c r="N665" s="5"/>
      <c r="AW665" s="5"/>
    </row>
    <row r="666" spans="14:49">
      <c r="N666" s="5"/>
      <c r="AW666" s="5"/>
    </row>
    <row r="667" spans="14:49">
      <c r="N667" s="5"/>
      <c r="AW667" s="5"/>
    </row>
    <row r="668" spans="14:49">
      <c r="N668" s="5"/>
      <c r="AW668" s="5"/>
    </row>
    <row r="669" spans="14:49">
      <c r="N669" s="5"/>
      <c r="AW669" s="5"/>
    </row>
    <row r="670" spans="14:49">
      <c r="N670" s="5"/>
      <c r="AW670" s="5"/>
    </row>
    <row r="671" spans="14:49">
      <c r="N671" s="5"/>
      <c r="AW671" s="5"/>
    </row>
    <row r="672" spans="14:49">
      <c r="N672" s="5"/>
      <c r="AW672" s="5"/>
    </row>
    <row r="673" spans="14:49">
      <c r="N673" s="5"/>
      <c r="AW673" s="5"/>
    </row>
    <row r="674" spans="14:49">
      <c r="N674" s="5"/>
      <c r="AW674" s="5"/>
    </row>
    <row r="675" spans="14:49">
      <c r="N675" s="5"/>
      <c r="AW675" s="5"/>
    </row>
    <row r="676" spans="14:49">
      <c r="N676" s="5"/>
      <c r="AW676" s="5"/>
    </row>
    <row r="677" spans="14:49">
      <c r="N677" s="5"/>
      <c r="AW677" s="5"/>
    </row>
    <row r="678" spans="14:49">
      <c r="N678" s="5"/>
      <c r="AW678" s="5"/>
    </row>
    <row r="679" spans="14:49">
      <c r="N679" s="5"/>
      <c r="AW679" s="5"/>
    </row>
    <row r="680" spans="14:49">
      <c r="N680" s="5"/>
      <c r="AW680" s="5"/>
    </row>
    <row r="681" spans="14:49">
      <c r="N681" s="5"/>
      <c r="AW681" s="5"/>
    </row>
    <row r="682" spans="14:49">
      <c r="N682" s="5"/>
      <c r="AW682" s="5"/>
    </row>
    <row r="683" spans="14:49">
      <c r="N683" s="5"/>
      <c r="AW683" s="5"/>
    </row>
    <row r="684" spans="14:49">
      <c r="N684" s="5"/>
      <c r="AW684" s="5"/>
    </row>
    <row r="685" spans="14:49">
      <c r="N685" s="5"/>
      <c r="AW685" s="5"/>
    </row>
    <row r="686" spans="14:49">
      <c r="N686" s="5"/>
      <c r="AW686" s="5"/>
    </row>
    <row r="687" spans="14:49">
      <c r="N687" s="5"/>
      <c r="AW687" s="5"/>
    </row>
    <row r="688" spans="14:49">
      <c r="N688" s="5"/>
      <c r="AW688" s="5"/>
    </row>
    <row r="689" spans="14:49">
      <c r="N689" s="5"/>
      <c r="AW689" s="5"/>
    </row>
    <row r="690" spans="14:49">
      <c r="N690" s="5"/>
      <c r="AW690" s="5"/>
    </row>
    <row r="691" spans="14:49">
      <c r="N691" s="5"/>
      <c r="AW691" s="5"/>
    </row>
    <row r="692" spans="14:49">
      <c r="N692" s="5"/>
      <c r="AW692" s="5"/>
    </row>
    <row r="693" spans="14:49">
      <c r="N693" s="5"/>
      <c r="AW693" s="5"/>
    </row>
    <row r="694" spans="14:49">
      <c r="N694" s="5"/>
      <c r="AW694" s="5"/>
    </row>
    <row r="695" spans="14:49">
      <c r="N695" s="5"/>
      <c r="AW695" s="5"/>
    </row>
    <row r="696" spans="14:49">
      <c r="N696" s="5"/>
      <c r="AW696" s="5"/>
    </row>
    <row r="697" spans="14:49">
      <c r="N697" s="5"/>
      <c r="AW697" s="5"/>
    </row>
    <row r="698" spans="14:49">
      <c r="N698" s="5"/>
      <c r="AW698" s="5"/>
    </row>
    <row r="699" spans="14:49">
      <c r="N699" s="5"/>
      <c r="AW699" s="5"/>
    </row>
    <row r="700" spans="14:49">
      <c r="N700" s="5"/>
      <c r="AW700" s="5"/>
    </row>
    <row r="701" spans="14:49">
      <c r="N701" s="5"/>
      <c r="AW701" s="5"/>
    </row>
    <row r="702" spans="14:49">
      <c r="N702" s="5"/>
      <c r="AW702" s="5"/>
    </row>
    <row r="703" spans="14:49">
      <c r="N703" s="5"/>
      <c r="AW703" s="5"/>
    </row>
    <row r="704" spans="14:49">
      <c r="N704" s="5"/>
      <c r="AW704" s="5"/>
    </row>
    <row r="705" spans="14:49">
      <c r="N705" s="5"/>
      <c r="AW705" s="5"/>
    </row>
    <row r="706" spans="14:49">
      <c r="N706" s="5"/>
      <c r="AW706" s="5"/>
    </row>
    <row r="707" spans="14:49">
      <c r="N707" s="5"/>
      <c r="AW707" s="5"/>
    </row>
    <row r="708" spans="14:49">
      <c r="N708" s="5"/>
      <c r="AW708" s="5"/>
    </row>
    <row r="709" spans="14:49">
      <c r="N709" s="5"/>
      <c r="AW709" s="5"/>
    </row>
    <row r="710" spans="14:49">
      <c r="N710" s="5"/>
      <c r="AW710" s="5"/>
    </row>
    <row r="711" spans="14:49">
      <c r="N711" s="5"/>
      <c r="AW711" s="5"/>
    </row>
    <row r="712" spans="14:49">
      <c r="N712" s="5"/>
      <c r="AW712" s="5"/>
    </row>
    <row r="713" spans="14:49">
      <c r="N713" s="5"/>
      <c r="AW713" s="5"/>
    </row>
    <row r="714" spans="14:49">
      <c r="N714" s="5"/>
      <c r="AW714" s="5"/>
    </row>
    <row r="715" spans="14:49">
      <c r="N715" s="5"/>
      <c r="AW715" s="5"/>
    </row>
    <row r="716" spans="14:49">
      <c r="N716" s="5"/>
      <c r="AW716" s="5"/>
    </row>
    <row r="717" spans="14:49">
      <c r="N717" s="5"/>
      <c r="AW717" s="5"/>
    </row>
    <row r="718" spans="14:49">
      <c r="N718" s="5"/>
      <c r="AW718" s="5"/>
    </row>
    <row r="719" spans="14:49">
      <c r="N719" s="5"/>
      <c r="AW719" s="5"/>
    </row>
    <row r="720" spans="14:49">
      <c r="N720" s="5"/>
      <c r="AW720" s="5"/>
    </row>
    <row r="721" spans="14:49">
      <c r="N721" s="5"/>
      <c r="AW721" s="5"/>
    </row>
    <row r="722" spans="14:49">
      <c r="N722" s="5"/>
      <c r="AW722" s="5"/>
    </row>
    <row r="723" spans="14:49">
      <c r="N723" s="5"/>
      <c r="AW723" s="5"/>
    </row>
    <row r="724" spans="14:49">
      <c r="N724" s="5"/>
      <c r="AW724" s="5"/>
    </row>
    <row r="725" spans="14:49">
      <c r="N725" s="5"/>
      <c r="AW725" s="5"/>
    </row>
    <row r="726" spans="14:49">
      <c r="N726" s="5"/>
      <c r="AW726" s="5"/>
    </row>
    <row r="727" spans="14:49">
      <c r="N727" s="5"/>
      <c r="AW727" s="5"/>
    </row>
    <row r="728" spans="14:49">
      <c r="N728" s="5"/>
      <c r="AW728" s="5"/>
    </row>
    <row r="729" spans="14:49">
      <c r="N729" s="5"/>
      <c r="AW729" s="5"/>
    </row>
    <row r="730" spans="14:49">
      <c r="N730" s="5"/>
      <c r="AW730" s="5"/>
    </row>
    <row r="731" spans="14:49">
      <c r="N731" s="5"/>
      <c r="AW731" s="5"/>
    </row>
    <row r="732" spans="14:49">
      <c r="N732" s="5"/>
      <c r="AW732" s="5"/>
    </row>
    <row r="733" spans="14:49">
      <c r="N733" s="5"/>
      <c r="AW733" s="5"/>
    </row>
    <row r="734" spans="14:49">
      <c r="N734" s="5"/>
      <c r="AW734" s="5"/>
    </row>
    <row r="735" spans="14:49">
      <c r="N735" s="5"/>
      <c r="AW735" s="5"/>
    </row>
    <row r="736" spans="14:49">
      <c r="N736" s="5"/>
      <c r="AW736" s="5"/>
    </row>
    <row r="737" spans="14:49">
      <c r="N737" s="5"/>
      <c r="AW737" s="5"/>
    </row>
    <row r="738" spans="14:49">
      <c r="N738" s="5"/>
      <c r="AW738" s="5"/>
    </row>
    <row r="739" spans="14:49">
      <c r="N739" s="5"/>
      <c r="AW739" s="5"/>
    </row>
    <row r="740" spans="14:49">
      <c r="N740" s="5"/>
      <c r="AW740" s="5"/>
    </row>
    <row r="741" spans="14:49">
      <c r="N741" s="5"/>
      <c r="AW741" s="5"/>
    </row>
    <row r="742" spans="14:49">
      <c r="N742" s="5"/>
      <c r="AW742" s="5"/>
    </row>
    <row r="743" spans="14:49">
      <c r="N743" s="5"/>
      <c r="AW743" s="5"/>
    </row>
    <row r="744" spans="14:49">
      <c r="N744" s="5"/>
      <c r="AW744" s="5"/>
    </row>
    <row r="745" spans="14:49">
      <c r="N745" s="5"/>
      <c r="AW745" s="5"/>
    </row>
    <row r="746" spans="14:49">
      <c r="N746" s="5"/>
      <c r="AW746" s="5"/>
    </row>
    <row r="747" spans="14:49">
      <c r="N747" s="5"/>
      <c r="AW747" s="5"/>
    </row>
    <row r="748" spans="14:49">
      <c r="N748" s="5"/>
      <c r="AW748" s="5"/>
    </row>
    <row r="749" spans="14:49">
      <c r="N749" s="5"/>
      <c r="AW749" s="5"/>
    </row>
    <row r="750" spans="14:49">
      <c r="N750" s="5"/>
      <c r="AW750" s="5"/>
    </row>
    <row r="751" spans="14:49">
      <c r="N751" s="5"/>
      <c r="AW751" s="5"/>
    </row>
    <row r="752" spans="14:49">
      <c r="N752" s="5"/>
      <c r="AW752" s="5"/>
    </row>
    <row r="753" spans="14:49">
      <c r="N753" s="5"/>
      <c r="AW753" s="5"/>
    </row>
    <row r="754" spans="14:49">
      <c r="N754" s="5"/>
      <c r="AW754" s="5"/>
    </row>
    <row r="755" spans="14:49">
      <c r="N755" s="5"/>
      <c r="AW755" s="5"/>
    </row>
    <row r="756" spans="14:49">
      <c r="N756" s="5"/>
      <c r="AW756" s="5"/>
    </row>
    <row r="757" spans="14:49">
      <c r="N757" s="5"/>
      <c r="AW757" s="5"/>
    </row>
    <row r="758" spans="14:49">
      <c r="N758" s="5"/>
      <c r="AW758" s="5"/>
    </row>
    <row r="759" spans="14:49">
      <c r="N759" s="5"/>
      <c r="AW759" s="5"/>
    </row>
    <row r="760" spans="14:49">
      <c r="N760" s="5"/>
      <c r="AW760" s="5"/>
    </row>
    <row r="761" spans="14:49">
      <c r="N761" s="5"/>
      <c r="AW761" s="5"/>
    </row>
    <row r="762" spans="14:49">
      <c r="N762" s="5"/>
      <c r="AW762" s="5"/>
    </row>
    <row r="763" spans="14:49">
      <c r="N763" s="5"/>
      <c r="AW763" s="5"/>
    </row>
    <row r="764" spans="14:49">
      <c r="N764" s="5"/>
      <c r="AW764" s="5"/>
    </row>
    <row r="765" spans="14:49">
      <c r="N765" s="5"/>
      <c r="AW765" s="5"/>
    </row>
    <row r="766" spans="14:49">
      <c r="N766" s="5"/>
      <c r="AW766" s="5"/>
    </row>
    <row r="767" spans="14:49">
      <c r="N767" s="5"/>
      <c r="AW767" s="5"/>
    </row>
    <row r="768" spans="14:49">
      <c r="N768" s="5"/>
      <c r="AW768" s="5"/>
    </row>
    <row r="769" spans="14:49">
      <c r="N769" s="5"/>
      <c r="AW769" s="5"/>
    </row>
    <row r="770" spans="14:49">
      <c r="N770" s="5"/>
      <c r="AW770" s="5"/>
    </row>
    <row r="771" spans="14:49">
      <c r="N771" s="5"/>
      <c r="AW771" s="5"/>
    </row>
    <row r="772" spans="14:49">
      <c r="N772" s="5"/>
      <c r="AW772" s="5"/>
    </row>
    <row r="773" spans="14:49">
      <c r="N773" s="5"/>
      <c r="AW773" s="5"/>
    </row>
    <row r="774" spans="14:49">
      <c r="N774" s="5"/>
      <c r="AW774" s="5"/>
    </row>
    <row r="775" spans="14:49">
      <c r="N775" s="5"/>
      <c r="AW775" s="5"/>
    </row>
    <row r="776" spans="14:49">
      <c r="N776" s="5"/>
      <c r="AW776" s="5"/>
    </row>
    <row r="777" spans="14:49">
      <c r="N777" s="5"/>
      <c r="AW777" s="5"/>
    </row>
    <row r="778" spans="14:49">
      <c r="N778" s="5"/>
      <c r="AW778" s="5"/>
    </row>
    <row r="779" spans="14:49">
      <c r="N779" s="5"/>
      <c r="AW779" s="5"/>
    </row>
    <row r="780" spans="14:49">
      <c r="N780" s="5"/>
      <c r="AW780" s="5"/>
    </row>
    <row r="781" spans="14:49">
      <c r="N781" s="5"/>
      <c r="AW781" s="5"/>
    </row>
    <row r="782" spans="14:49">
      <c r="N782" s="5"/>
      <c r="AW782" s="5"/>
    </row>
    <row r="783" spans="14:49">
      <c r="N783" s="5"/>
      <c r="AW783" s="5"/>
    </row>
    <row r="784" spans="14:49">
      <c r="N784" s="5"/>
      <c r="AW784" s="5"/>
    </row>
    <row r="785" spans="14:49">
      <c r="N785" s="5"/>
      <c r="AW785" s="5"/>
    </row>
    <row r="786" spans="14:49">
      <c r="N786" s="5"/>
      <c r="AW786" s="5"/>
    </row>
    <row r="787" spans="14:49">
      <c r="N787" s="5"/>
      <c r="AW787" s="5"/>
    </row>
    <row r="788" spans="14:49">
      <c r="N788" s="5"/>
      <c r="AW788" s="5"/>
    </row>
    <row r="789" spans="14:49">
      <c r="N789" s="5"/>
      <c r="AW789" s="5"/>
    </row>
    <row r="790" spans="14:49">
      <c r="N790" s="5"/>
      <c r="AW790" s="5"/>
    </row>
    <row r="791" spans="14:49">
      <c r="N791" s="5"/>
      <c r="AW791" s="5"/>
    </row>
    <row r="792" spans="14:49">
      <c r="N792" s="5"/>
      <c r="AW792" s="5"/>
    </row>
    <row r="793" spans="14:49">
      <c r="N793" s="5"/>
      <c r="AW793" s="5"/>
    </row>
    <row r="794" spans="14:49">
      <c r="N794" s="5"/>
      <c r="AW794" s="5"/>
    </row>
    <row r="795" spans="14:49">
      <c r="N795" s="5"/>
      <c r="AW795" s="5"/>
    </row>
    <row r="796" spans="14:49">
      <c r="N796" s="5"/>
      <c r="AW796" s="5"/>
    </row>
    <row r="797" spans="14:49">
      <c r="N797" s="5"/>
      <c r="AW797" s="5"/>
    </row>
    <row r="798" spans="14:49">
      <c r="N798" s="5"/>
      <c r="AW798" s="5"/>
    </row>
    <row r="799" spans="14:49">
      <c r="N799" s="5"/>
      <c r="AW799" s="5"/>
    </row>
    <row r="800" spans="14:49">
      <c r="N800" s="5"/>
      <c r="AW800" s="5"/>
    </row>
    <row r="801" spans="14:49">
      <c r="N801" s="5"/>
      <c r="AW801" s="5"/>
    </row>
    <row r="802" spans="14:49">
      <c r="N802" s="5"/>
      <c r="AW802" s="5"/>
    </row>
    <row r="803" spans="14:49">
      <c r="N803" s="5"/>
      <c r="AW803" s="5"/>
    </row>
    <row r="804" spans="14:49">
      <c r="N804" s="5"/>
      <c r="AW804" s="5"/>
    </row>
    <row r="805" spans="14:49">
      <c r="N805" s="5"/>
      <c r="AW805" s="5"/>
    </row>
    <row r="806" spans="14:49">
      <c r="N806" s="5"/>
      <c r="AW806" s="5"/>
    </row>
    <row r="807" spans="14:49">
      <c r="N807" s="5"/>
      <c r="AW807" s="5"/>
    </row>
    <row r="808" spans="14:49">
      <c r="N808" s="5"/>
      <c r="AW808" s="5"/>
    </row>
    <row r="809" spans="14:49">
      <c r="N809" s="5"/>
      <c r="AW809" s="5"/>
    </row>
    <row r="810" spans="14:49">
      <c r="N810" s="5"/>
      <c r="AW810" s="5"/>
    </row>
    <row r="811" spans="14:49">
      <c r="N811" s="5"/>
      <c r="AW811" s="5"/>
    </row>
    <row r="812" spans="14:49">
      <c r="N812" s="5"/>
      <c r="AW812" s="5"/>
    </row>
    <row r="813" spans="14:49">
      <c r="N813" s="5"/>
      <c r="AW813" s="5"/>
    </row>
    <row r="814" spans="14:49">
      <c r="N814" s="5"/>
      <c r="AW814" s="5"/>
    </row>
    <row r="815" spans="14:49">
      <c r="N815" s="5"/>
      <c r="AW815" s="5"/>
    </row>
    <row r="816" spans="14:49">
      <c r="N816" s="5"/>
      <c r="AW816" s="5"/>
    </row>
  </sheetData>
  <autoFilter ref="A1:BA1">
    <sortState ref="A2:BB117">
      <sortCondition ref="G2:G103"/>
    </sortState>
  </autoFilter>
  <sortState ref="A2:BA126">
    <sortCondition ref="G2:G126"/>
  </sortState>
  <conditionalFormatting sqref="B1:C1">
    <cfRule type="containsBlanks" dxfId="12" priority="55" stopIfTrue="1">
      <formula>LEN(TRIM(B1))=0</formula>
    </cfRule>
  </conditionalFormatting>
  <conditionalFormatting sqref="N130">
    <cfRule type="cellIs" dxfId="11" priority="27" stopIfTrue="1" operator="lessThan">
      <formula>0</formula>
    </cfRule>
    <cfRule type="cellIs" dxfId="10" priority="28" stopIfTrue="1" operator="greaterThan">
      <formula>0</formula>
    </cfRule>
  </conditionalFormatting>
  <conditionalFormatting sqref="AW130">
    <cfRule type="cellIs" dxfId="9" priority="25" stopIfTrue="1" operator="lessThan">
      <formula>0</formula>
    </cfRule>
    <cfRule type="cellIs" dxfId="8" priority="26" stopIfTrue="1" operator="greaterThan">
      <formula>0</formula>
    </cfRule>
  </conditionalFormatting>
  <conditionalFormatting sqref="U130:AA130 AJ130:AO130 AC130:AH130">
    <cfRule type="cellIs" dxfId="7" priority="17" stopIfTrue="1" operator="lessThan">
      <formula>0</formula>
    </cfRule>
    <cfRule type="cellIs" dxfId="6" priority="18" stopIfTrue="1" operator="greaterThan">
      <formula>0</formula>
    </cfRule>
  </conditionalFormatting>
  <conditionalFormatting sqref="AP130">
    <cfRule type="cellIs" dxfId="5" priority="5" stopIfTrue="1" operator="lessThan">
      <formula>0</formula>
    </cfRule>
    <cfRule type="cellIs" dxfId="4" priority="6" stopIfTrue="1" operator="greaterThan">
      <formula>0</formula>
    </cfRule>
  </conditionalFormatting>
  <conditionalFormatting sqref="AI130">
    <cfRule type="cellIs" dxfId="3" priority="3" stopIfTrue="1" operator="lessThan">
      <formula>0</formula>
    </cfRule>
    <cfRule type="cellIs" dxfId="2" priority="4" stopIfTrue="1" operator="greaterThan">
      <formula>0</formula>
    </cfRule>
  </conditionalFormatting>
  <conditionalFormatting sqref="AB130">
    <cfRule type="cellIs" dxfId="1" priority="1" stopIfTrue="1" operator="lessThan">
      <formula>0</formula>
    </cfRule>
    <cfRule type="cellIs" dxfId="0" priority="2" stopIfTrue="1" operator="greaterThan">
      <formula>0</formula>
    </cfRule>
  </conditionalFormatting>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SWFWMD</vt:lpstr>
      <vt:lpstr>SJRWMD</vt:lpstr>
      <vt:lpstr>SFWMD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vcastro</dc:creator>
  <cp:keywords/>
  <dc:description/>
  <cp:lastModifiedBy>Jerry Carter</cp:lastModifiedBy>
  <cp:revision/>
  <dcterms:created xsi:type="dcterms:W3CDTF">2016-03-25T18:51:51Z</dcterms:created>
  <dcterms:modified xsi:type="dcterms:W3CDTF">2016-07-25T13:49:34Z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-550722821</vt:i4>
  </property>
  <property fmtid="{D5CDD505-2E9C-101B-9397-08002B2CF9AE}" pid="3" name="_NewReviewCycle">
    <vt:lpwstr/>
  </property>
  <property fmtid="{D5CDD505-2E9C-101B-9397-08002B2CF9AE}" pid="4" name="_EmailSubject">
    <vt:lpwstr>CFWI Regulatory Team - materials for today's meeting</vt:lpwstr>
  </property>
  <property fmtid="{D5CDD505-2E9C-101B-9397-08002B2CF9AE}" pid="5" name="_AuthorEmail">
    <vt:lpwstr>smemberg@sfwmd.gov</vt:lpwstr>
  </property>
  <property fmtid="{D5CDD505-2E9C-101B-9397-08002B2CF9AE}" pid="6" name="_AuthorEmailDisplayName">
    <vt:lpwstr>Memberg, Steven</vt:lpwstr>
  </property>
  <property fmtid="{D5CDD505-2E9C-101B-9397-08002B2CF9AE}" pid="7" name="_PreviousAdHocReviewCycleID">
    <vt:i4>730344539</vt:i4>
  </property>
  <property fmtid="{D5CDD505-2E9C-101B-9397-08002B2CF9AE}" pid="8" name="_ReviewingToolsShownOnce">
    <vt:lpwstr/>
  </property>
</Properties>
</file>