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floridaswater-my.sharepoint.com/personal/tbader_sjrwmd_com/Documents/CFCA/CFWI/CFWI 2025/Write-up/"/>
    </mc:Choice>
  </mc:AlternateContent>
  <xr:revisionPtr revIDLastSave="6" documentId="8_{834E9A74-9F70-4241-BB4B-E325DF30FCEC}" xr6:coauthVersionLast="47" xr6:coauthVersionMax="47" xr10:uidLastSave="{3F104473-3F5D-4420-BE75-837424BAD181}"/>
  <bookViews>
    <workbookView xWindow="-120" yWindow="-120" windowWidth="29040" windowHeight="17640" firstSheet="1" activeTab="1" xr2:uid="{00000000-000D-0000-FFFF-FFFF00000000}"/>
  </bookViews>
  <sheets>
    <sheet name=" Old Data by County" sheetId="18" state="hidden" r:id="rId1"/>
    <sheet name="ReadMeInformation" sheetId="25" r:id="rId2"/>
    <sheet name="2020 RW by County" sheetId="23" r:id="rId3"/>
    <sheet name="Appendix A Format (A-13a&amp;b)" sheetId="24" r:id="rId4"/>
    <sheet name="2045 RW Projections (A-13c-f)" sheetId="8" r:id="rId5"/>
  </sheets>
  <definedNames>
    <definedName name="_xlnm._FilterDatabase" localSheetId="0" hidden="1">' Old Data by County'!$A$1:$Z$103</definedName>
    <definedName name="_xlnm._FilterDatabase" localSheetId="4" hidden="1">'2045 RW Projections (A-13c-f)'!$B$2:$AR$95</definedName>
    <definedName name="_xlnm.Database" localSheetId="4">#REF!</definedName>
    <definedName name="_xlnm.Database">#REF!</definedName>
    <definedName name="_xlnm.Print_Area" localSheetId="4">'2045 RW Projections (A-13c-f)'!$A$1:$S$112</definedName>
    <definedName name="_xlnm.Print_Area" localSheetId="3">'Appendix A Format (A-13a&amp;b)'!$A$1:$O$104</definedName>
    <definedName name="_xlnm.Print_Titles" localSheetId="2">'2020 RW by County'!$1:$2</definedName>
    <definedName name="_xlnm.Print_Titles" localSheetId="4">'2045 RW Projections (A-13c-f)'!$1:$2</definedName>
    <definedName name="_xlnm.Print_Titles" localSheetId="3">'Appendix A Format (A-13a&amp;b)'!$1:$2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5" i="8" l="1"/>
  <c r="L95" i="8"/>
  <c r="R95" i="8" s="1"/>
  <c r="M94" i="8"/>
  <c r="L94" i="8"/>
  <c r="R94" i="8" s="1"/>
  <c r="M93" i="8"/>
  <c r="L93" i="8"/>
  <c r="R93" i="8" s="1"/>
  <c r="M92" i="8"/>
  <c r="L92" i="8"/>
  <c r="R92" i="8" s="1"/>
  <c r="K92" i="8"/>
  <c r="S92" i="8" s="1"/>
  <c r="M91" i="8"/>
  <c r="L91" i="8"/>
  <c r="R91" i="8" s="1"/>
  <c r="M90" i="8"/>
  <c r="L90" i="8"/>
  <c r="R90" i="8" s="1"/>
  <c r="K90" i="8"/>
  <c r="S90" i="8" s="1"/>
  <c r="M89" i="8"/>
  <c r="L89" i="8"/>
  <c r="R89" i="8" s="1"/>
  <c r="M88" i="8"/>
  <c r="L88" i="8"/>
  <c r="R88" i="8" s="1"/>
  <c r="M87" i="8"/>
  <c r="L87" i="8"/>
  <c r="R87" i="8" s="1"/>
  <c r="M86" i="8"/>
  <c r="L86" i="8"/>
  <c r="R86" i="8" s="1"/>
  <c r="M85" i="8"/>
  <c r="L85" i="8"/>
  <c r="R85" i="8" s="1"/>
  <c r="M84" i="8"/>
  <c r="L84" i="8"/>
  <c r="R84" i="8" s="1"/>
  <c r="M83" i="8"/>
  <c r="L83" i="8"/>
  <c r="R83" i="8" s="1"/>
  <c r="M82" i="8"/>
  <c r="L82" i="8"/>
  <c r="R82" i="8" s="1"/>
  <c r="M79" i="8"/>
  <c r="L79" i="8"/>
  <c r="R79" i="8" s="1"/>
  <c r="M78" i="8"/>
  <c r="L78" i="8"/>
  <c r="R78" i="8" s="1"/>
  <c r="M77" i="8"/>
  <c r="L77" i="8"/>
  <c r="R77" i="8" s="1"/>
  <c r="M76" i="8"/>
  <c r="L76" i="8"/>
  <c r="R76" i="8" s="1"/>
  <c r="M75" i="8"/>
  <c r="L75" i="8"/>
  <c r="R75" i="8" s="1"/>
  <c r="M74" i="8"/>
  <c r="L74" i="8"/>
  <c r="R74" i="8" s="1"/>
  <c r="M73" i="8"/>
  <c r="L73" i="8"/>
  <c r="R73" i="8" s="1"/>
  <c r="K73" i="8"/>
  <c r="S73" i="8" s="1"/>
  <c r="M72" i="8"/>
  <c r="L72" i="8"/>
  <c r="R72" i="8" s="1"/>
  <c r="M71" i="8"/>
  <c r="L71" i="8"/>
  <c r="R71" i="8" s="1"/>
  <c r="M70" i="8"/>
  <c r="L70" i="8"/>
  <c r="R70" i="8" s="1"/>
  <c r="M69" i="8"/>
  <c r="L69" i="8"/>
  <c r="R69" i="8" s="1"/>
  <c r="M68" i="8"/>
  <c r="L68" i="8"/>
  <c r="R68" i="8" s="1"/>
  <c r="M67" i="8"/>
  <c r="L67" i="8"/>
  <c r="R67" i="8" s="1"/>
  <c r="M66" i="8"/>
  <c r="L66" i="8"/>
  <c r="R66" i="8" s="1"/>
  <c r="M65" i="8"/>
  <c r="L65" i="8"/>
  <c r="R65" i="8" s="1"/>
  <c r="M64" i="8"/>
  <c r="L64" i="8"/>
  <c r="R64" i="8" s="1"/>
  <c r="M63" i="8"/>
  <c r="L63" i="8"/>
  <c r="R63" i="8" s="1"/>
  <c r="M62" i="8"/>
  <c r="L62" i="8"/>
  <c r="R62" i="8" s="1"/>
  <c r="M61" i="8"/>
  <c r="L61" i="8"/>
  <c r="R61" i="8" s="1"/>
  <c r="M60" i="8"/>
  <c r="L60" i="8"/>
  <c r="R60" i="8" s="1"/>
  <c r="M59" i="8"/>
  <c r="L59" i="8"/>
  <c r="R59" i="8" s="1"/>
  <c r="M58" i="8"/>
  <c r="L58" i="8"/>
  <c r="R58" i="8" s="1"/>
  <c r="M57" i="8"/>
  <c r="L57" i="8"/>
  <c r="R57" i="8" s="1"/>
  <c r="M56" i="8"/>
  <c r="L56" i="8"/>
  <c r="R56" i="8" s="1"/>
  <c r="M55" i="8"/>
  <c r="L55" i="8"/>
  <c r="R55" i="8" s="1"/>
  <c r="M54" i="8"/>
  <c r="L54" i="8"/>
  <c r="R54" i="8" s="1"/>
  <c r="M53" i="8"/>
  <c r="L53" i="8"/>
  <c r="R53" i="8" s="1"/>
  <c r="M52" i="8"/>
  <c r="L52" i="8"/>
  <c r="R52" i="8" s="1"/>
  <c r="M51" i="8"/>
  <c r="L51" i="8"/>
  <c r="R51" i="8" s="1"/>
  <c r="M50" i="8"/>
  <c r="L50" i="8"/>
  <c r="R50" i="8" s="1"/>
  <c r="M48" i="8"/>
  <c r="L48" i="8"/>
  <c r="R48" i="8" s="1"/>
  <c r="K48" i="8"/>
  <c r="S48" i="8" s="1"/>
  <c r="M47" i="8"/>
  <c r="L47" i="8"/>
  <c r="R47" i="8" s="1"/>
  <c r="K47" i="8"/>
  <c r="S47" i="8" s="1"/>
  <c r="M46" i="8"/>
  <c r="L46" i="8"/>
  <c r="R46" i="8" s="1"/>
  <c r="M45" i="8"/>
  <c r="L45" i="8"/>
  <c r="R45" i="8" s="1"/>
  <c r="M44" i="8"/>
  <c r="L44" i="8"/>
  <c r="R44" i="8" s="1"/>
  <c r="M42" i="8"/>
  <c r="L42" i="8"/>
  <c r="R42" i="8" s="1"/>
  <c r="K42" i="8"/>
  <c r="S42" i="8" s="1"/>
  <c r="M41" i="8"/>
  <c r="L41" i="8"/>
  <c r="R41" i="8" s="1"/>
  <c r="M40" i="8"/>
  <c r="L40" i="8"/>
  <c r="R40" i="8" s="1"/>
  <c r="M39" i="8"/>
  <c r="L39" i="8"/>
  <c r="R39" i="8" s="1"/>
  <c r="M38" i="8"/>
  <c r="L38" i="8"/>
  <c r="R38" i="8" s="1"/>
  <c r="M37" i="8"/>
  <c r="L37" i="8"/>
  <c r="R37" i="8" s="1"/>
  <c r="M36" i="8"/>
  <c r="L36" i="8"/>
  <c r="R36" i="8" s="1"/>
  <c r="K36" i="8"/>
  <c r="S36" i="8" s="1"/>
  <c r="M35" i="8"/>
  <c r="L35" i="8"/>
  <c r="R35" i="8" s="1"/>
  <c r="M34" i="8"/>
  <c r="L34" i="8"/>
  <c r="R34" i="8" s="1"/>
  <c r="M31" i="8"/>
  <c r="L31" i="8"/>
  <c r="R31" i="8" s="1"/>
  <c r="M30" i="8"/>
  <c r="L30" i="8"/>
  <c r="R30" i="8" s="1"/>
  <c r="M29" i="8"/>
  <c r="L29" i="8"/>
  <c r="R29" i="8" s="1"/>
  <c r="M28" i="8"/>
  <c r="L28" i="8"/>
  <c r="R28" i="8" s="1"/>
  <c r="M27" i="8"/>
  <c r="L27" i="8"/>
  <c r="R27" i="8" s="1"/>
  <c r="M26" i="8"/>
  <c r="L26" i="8"/>
  <c r="R26" i="8" s="1"/>
  <c r="M25" i="8"/>
  <c r="L25" i="8"/>
  <c r="R25" i="8" s="1"/>
  <c r="M24" i="8"/>
  <c r="L24" i="8"/>
  <c r="R24" i="8" s="1"/>
  <c r="M23" i="8"/>
  <c r="L23" i="8"/>
  <c r="R23" i="8" s="1"/>
  <c r="M22" i="8"/>
  <c r="L22" i="8"/>
  <c r="R22" i="8" s="1"/>
  <c r="M20" i="8"/>
  <c r="L20" i="8"/>
  <c r="R20" i="8" s="1"/>
  <c r="M19" i="8"/>
  <c r="L19" i="8"/>
  <c r="R19" i="8" s="1"/>
  <c r="M18" i="8"/>
  <c r="L18" i="8"/>
  <c r="R18" i="8" s="1"/>
  <c r="M17" i="8"/>
  <c r="L17" i="8"/>
  <c r="R17" i="8" s="1"/>
  <c r="M16" i="8"/>
  <c r="M14" i="8"/>
  <c r="L14" i="8"/>
  <c r="R14" i="8" s="1"/>
  <c r="M13" i="8"/>
  <c r="L13" i="8"/>
  <c r="R13" i="8" s="1"/>
  <c r="M12" i="8"/>
  <c r="L12" i="8"/>
  <c r="R12" i="8" s="1"/>
  <c r="M11" i="8"/>
  <c r="L11" i="8"/>
  <c r="R11" i="8" s="1"/>
  <c r="M10" i="8"/>
  <c r="L10" i="8"/>
  <c r="R10" i="8" s="1"/>
  <c r="M9" i="8"/>
  <c r="L9" i="8"/>
  <c r="R9" i="8" s="1"/>
  <c r="M8" i="8"/>
  <c r="L8" i="8"/>
  <c r="R8" i="8" s="1"/>
  <c r="M7" i="8"/>
  <c r="L7" i="8"/>
  <c r="R7" i="8" s="1"/>
  <c r="M6" i="8"/>
  <c r="L6" i="8"/>
  <c r="R6" i="8" s="1"/>
  <c r="K4" i="8"/>
  <c r="L4" i="8"/>
  <c r="R4" i="8" s="1"/>
  <c r="M4" i="8"/>
  <c r="M3" i="8"/>
  <c r="L3" i="8"/>
  <c r="J95" i="8"/>
  <c r="Q95" i="8" s="1"/>
  <c r="J94" i="8"/>
  <c r="Q94" i="8" s="1"/>
  <c r="J93" i="8"/>
  <c r="Q93" i="8" s="1"/>
  <c r="J92" i="8"/>
  <c r="Q92" i="8" s="1"/>
  <c r="J91" i="8"/>
  <c r="Q91" i="8" s="1"/>
  <c r="J90" i="8"/>
  <c r="Q90" i="8" s="1"/>
  <c r="J89" i="8"/>
  <c r="Q89" i="8" s="1"/>
  <c r="J88" i="8"/>
  <c r="Q88" i="8" s="1"/>
  <c r="J87" i="8"/>
  <c r="Q87" i="8" s="1"/>
  <c r="J86" i="8"/>
  <c r="Q86" i="8" s="1"/>
  <c r="J85" i="8"/>
  <c r="Q85" i="8" s="1"/>
  <c r="J84" i="8"/>
  <c r="Q84" i="8" s="1"/>
  <c r="J83" i="8"/>
  <c r="Q83" i="8" s="1"/>
  <c r="J82" i="8"/>
  <c r="Q82" i="8" s="1"/>
  <c r="J79" i="8"/>
  <c r="Q79" i="8" s="1"/>
  <c r="J78" i="8"/>
  <c r="Q78" i="8" s="1"/>
  <c r="J77" i="8"/>
  <c r="Q77" i="8" s="1"/>
  <c r="J76" i="8"/>
  <c r="Q76" i="8" s="1"/>
  <c r="J75" i="8"/>
  <c r="Q75" i="8" s="1"/>
  <c r="J74" i="8"/>
  <c r="Q74" i="8" s="1"/>
  <c r="J73" i="8"/>
  <c r="Q73" i="8" s="1"/>
  <c r="J72" i="8"/>
  <c r="Q72" i="8" s="1"/>
  <c r="J71" i="8"/>
  <c r="Q71" i="8" s="1"/>
  <c r="J70" i="8"/>
  <c r="Q70" i="8" s="1"/>
  <c r="J69" i="8"/>
  <c r="Q69" i="8" s="1"/>
  <c r="J68" i="8"/>
  <c r="Q68" i="8" s="1"/>
  <c r="J67" i="8"/>
  <c r="Q67" i="8" s="1"/>
  <c r="J66" i="8"/>
  <c r="Q66" i="8" s="1"/>
  <c r="J65" i="8"/>
  <c r="Q65" i="8" s="1"/>
  <c r="J64" i="8"/>
  <c r="Q64" i="8" s="1"/>
  <c r="J63" i="8"/>
  <c r="Q63" i="8" s="1"/>
  <c r="J62" i="8"/>
  <c r="Q62" i="8" s="1"/>
  <c r="J61" i="8"/>
  <c r="Q61" i="8" s="1"/>
  <c r="J60" i="8"/>
  <c r="Q60" i="8" s="1"/>
  <c r="J59" i="8"/>
  <c r="Q59" i="8" s="1"/>
  <c r="J58" i="8"/>
  <c r="Q58" i="8" s="1"/>
  <c r="J57" i="8"/>
  <c r="Q57" i="8" s="1"/>
  <c r="J56" i="8"/>
  <c r="Q56" i="8" s="1"/>
  <c r="J55" i="8"/>
  <c r="Q55" i="8" s="1"/>
  <c r="J54" i="8"/>
  <c r="Q54" i="8" s="1"/>
  <c r="J53" i="8"/>
  <c r="Q53" i="8" s="1"/>
  <c r="J52" i="8"/>
  <c r="Q52" i="8" s="1"/>
  <c r="J51" i="8"/>
  <c r="Q51" i="8" s="1"/>
  <c r="J50" i="8"/>
  <c r="Q50" i="8" s="1"/>
  <c r="J48" i="8"/>
  <c r="Q48" i="8" s="1"/>
  <c r="J47" i="8"/>
  <c r="Q47" i="8" s="1"/>
  <c r="J46" i="8"/>
  <c r="Q46" i="8" s="1"/>
  <c r="J45" i="8"/>
  <c r="Q45" i="8" s="1"/>
  <c r="J44" i="8"/>
  <c r="Q44" i="8" s="1"/>
  <c r="J42" i="8"/>
  <c r="Q42" i="8" s="1"/>
  <c r="J41" i="8"/>
  <c r="Q41" i="8" s="1"/>
  <c r="J40" i="8"/>
  <c r="Q40" i="8" s="1"/>
  <c r="J39" i="8"/>
  <c r="Q39" i="8" s="1"/>
  <c r="J38" i="8"/>
  <c r="Q38" i="8" s="1"/>
  <c r="J37" i="8"/>
  <c r="Q37" i="8" s="1"/>
  <c r="J36" i="8"/>
  <c r="Q36" i="8" s="1"/>
  <c r="J35" i="8"/>
  <c r="Q35" i="8" s="1"/>
  <c r="J34" i="8"/>
  <c r="Q34" i="8" s="1"/>
  <c r="J31" i="8"/>
  <c r="Q31" i="8" s="1"/>
  <c r="J30" i="8"/>
  <c r="Q30" i="8" s="1"/>
  <c r="J29" i="8"/>
  <c r="Q29" i="8" s="1"/>
  <c r="J28" i="8"/>
  <c r="Q28" i="8" s="1"/>
  <c r="J27" i="8"/>
  <c r="Q27" i="8" s="1"/>
  <c r="J26" i="8"/>
  <c r="Q26" i="8" s="1"/>
  <c r="J25" i="8"/>
  <c r="Q25" i="8" s="1"/>
  <c r="J24" i="8"/>
  <c r="Q24" i="8" s="1"/>
  <c r="J23" i="8"/>
  <c r="Q23" i="8" s="1"/>
  <c r="J22" i="8"/>
  <c r="Q22" i="8" s="1"/>
  <c r="J17" i="8"/>
  <c r="Q17" i="8" s="1"/>
  <c r="J18" i="8"/>
  <c r="Q18" i="8" s="1"/>
  <c r="J19" i="8"/>
  <c r="Q19" i="8" s="1"/>
  <c r="J20" i="8"/>
  <c r="Q20" i="8" s="1"/>
  <c r="J16" i="8"/>
  <c r="Q16" i="8" s="1"/>
  <c r="J7" i="8"/>
  <c r="Q7" i="8" s="1"/>
  <c r="J8" i="8"/>
  <c r="Q8" i="8" s="1"/>
  <c r="J9" i="8"/>
  <c r="Q9" i="8" s="1"/>
  <c r="J10" i="8"/>
  <c r="Q10" i="8" s="1"/>
  <c r="J11" i="8"/>
  <c r="Q11" i="8" s="1"/>
  <c r="J12" i="8"/>
  <c r="Q12" i="8" s="1"/>
  <c r="J13" i="8"/>
  <c r="Q13" i="8" s="1"/>
  <c r="J14" i="8"/>
  <c r="Q14" i="8" s="1"/>
  <c r="J6" i="8"/>
  <c r="Q6" i="8" s="1"/>
  <c r="J4" i="8"/>
  <c r="Q4" i="8" s="1"/>
  <c r="J3" i="8"/>
  <c r="D80" i="8"/>
  <c r="D99" i="8" s="1"/>
  <c r="E80" i="8"/>
  <c r="F80" i="8"/>
  <c r="F99" i="8" s="1"/>
  <c r="P80" i="8"/>
  <c r="C80" i="8"/>
  <c r="C99" i="8" s="1"/>
  <c r="H95" i="8"/>
  <c r="G95" i="8"/>
  <c r="H93" i="8"/>
  <c r="G93" i="8"/>
  <c r="I93" i="8" s="1"/>
  <c r="N93" i="8" s="1"/>
  <c r="H92" i="8"/>
  <c r="G92" i="8"/>
  <c r="I92" i="8" s="1"/>
  <c r="N92" i="8" s="1"/>
  <c r="H91" i="8"/>
  <c r="G91" i="8"/>
  <c r="H89" i="8"/>
  <c r="G89" i="8"/>
  <c r="H87" i="8"/>
  <c r="G87" i="8"/>
  <c r="H86" i="8"/>
  <c r="G86" i="8"/>
  <c r="H85" i="8"/>
  <c r="G85" i="8"/>
  <c r="H84" i="8"/>
  <c r="G84" i="8"/>
  <c r="H83" i="8"/>
  <c r="G83" i="8"/>
  <c r="H82" i="8"/>
  <c r="G82" i="8"/>
  <c r="H78" i="8"/>
  <c r="G78" i="8"/>
  <c r="H77" i="8"/>
  <c r="G77" i="8"/>
  <c r="H75" i="8"/>
  <c r="G75" i="8"/>
  <c r="H74" i="8"/>
  <c r="G74" i="8"/>
  <c r="H72" i="8"/>
  <c r="G72" i="8"/>
  <c r="H71" i="8"/>
  <c r="G71" i="8"/>
  <c r="H70" i="8"/>
  <c r="G70" i="8"/>
  <c r="I70" i="8" s="1"/>
  <c r="N70" i="8" s="1"/>
  <c r="H69" i="8"/>
  <c r="G69" i="8"/>
  <c r="H68" i="8"/>
  <c r="G68" i="8"/>
  <c r="H67" i="8"/>
  <c r="G67" i="8"/>
  <c r="H65" i="8"/>
  <c r="G65" i="8"/>
  <c r="H63" i="8"/>
  <c r="G63" i="8"/>
  <c r="H62" i="8"/>
  <c r="G62" i="8"/>
  <c r="I62" i="8" s="1"/>
  <c r="N62" i="8" s="1"/>
  <c r="O62" i="8" s="1"/>
  <c r="H61" i="8"/>
  <c r="G61" i="8"/>
  <c r="H60" i="8"/>
  <c r="G60" i="8"/>
  <c r="I60" i="8" s="1"/>
  <c r="N60" i="8" s="1"/>
  <c r="O60" i="8" s="1"/>
  <c r="H59" i="8"/>
  <c r="G59" i="8"/>
  <c r="H58" i="8"/>
  <c r="G58" i="8"/>
  <c r="I58" i="8" s="1"/>
  <c r="N58" i="8" s="1"/>
  <c r="H57" i="8"/>
  <c r="G57" i="8"/>
  <c r="H56" i="8"/>
  <c r="G56" i="8"/>
  <c r="H54" i="8"/>
  <c r="G54" i="8"/>
  <c r="I54" i="8" s="1"/>
  <c r="N54" i="8" s="1"/>
  <c r="H76" i="8"/>
  <c r="G76" i="8"/>
  <c r="H52" i="8"/>
  <c r="G52" i="8"/>
  <c r="H50" i="8"/>
  <c r="G50" i="8"/>
  <c r="H44" i="8"/>
  <c r="G44" i="8"/>
  <c r="H37" i="8"/>
  <c r="G37" i="8"/>
  <c r="H35" i="8"/>
  <c r="G35" i="8"/>
  <c r="H31" i="8"/>
  <c r="G31" i="8"/>
  <c r="H30" i="8"/>
  <c r="G30" i="8"/>
  <c r="H28" i="8"/>
  <c r="G28" i="8"/>
  <c r="H27" i="8"/>
  <c r="G27" i="8"/>
  <c r="H26" i="8"/>
  <c r="G26" i="8"/>
  <c r="H25" i="8"/>
  <c r="G25" i="8"/>
  <c r="H22" i="8"/>
  <c r="G22" i="8"/>
  <c r="H19" i="8"/>
  <c r="I19" i="8" s="1"/>
  <c r="N19" i="8" s="1"/>
  <c r="O19" i="8" s="1"/>
  <c r="G19" i="8"/>
  <c r="H18" i="8"/>
  <c r="G18" i="8"/>
  <c r="H17" i="8"/>
  <c r="G17" i="8"/>
  <c r="I17" i="8" s="1"/>
  <c r="N17" i="8" s="1"/>
  <c r="O17" i="8" s="1"/>
  <c r="G10" i="8"/>
  <c r="H10" i="8"/>
  <c r="I10" i="8" s="1"/>
  <c r="N10" i="8" s="1"/>
  <c r="O10" i="8" s="1"/>
  <c r="G12" i="8"/>
  <c r="H12" i="8"/>
  <c r="G14" i="8"/>
  <c r="H14" i="8"/>
  <c r="I14" i="8" s="1"/>
  <c r="N14" i="8" s="1"/>
  <c r="O14" i="8" s="1"/>
  <c r="G8" i="8"/>
  <c r="H8" i="8"/>
  <c r="I8" i="8" s="1"/>
  <c r="N8" i="8" s="1"/>
  <c r="O8" i="8" s="1"/>
  <c r="H7" i="8"/>
  <c r="G7" i="8"/>
  <c r="H3" i="8"/>
  <c r="G3" i="8"/>
  <c r="D96" i="8"/>
  <c r="E96" i="8"/>
  <c r="F96" i="8"/>
  <c r="P96" i="8"/>
  <c r="C96" i="8"/>
  <c r="P49" i="8"/>
  <c r="D49" i="8"/>
  <c r="E49" i="8"/>
  <c r="F49" i="8"/>
  <c r="C49" i="8"/>
  <c r="D43" i="8"/>
  <c r="E43" i="8"/>
  <c r="F43" i="8"/>
  <c r="P43" i="8"/>
  <c r="C43" i="8"/>
  <c r="D32" i="8"/>
  <c r="E32" i="8"/>
  <c r="F32" i="8"/>
  <c r="P32" i="8"/>
  <c r="C32" i="8"/>
  <c r="D21" i="8"/>
  <c r="E21" i="8"/>
  <c r="F21" i="8"/>
  <c r="P21" i="8"/>
  <c r="C21" i="8"/>
  <c r="D15" i="8"/>
  <c r="E15" i="8"/>
  <c r="F15" i="8"/>
  <c r="P15" i="8"/>
  <c r="C15" i="8"/>
  <c r="D5" i="8"/>
  <c r="E5" i="8"/>
  <c r="F5" i="8"/>
  <c r="P5" i="8"/>
  <c r="C5" i="8"/>
  <c r="O99" i="24"/>
  <c r="N99" i="24"/>
  <c r="M99" i="24"/>
  <c r="L99" i="24"/>
  <c r="K99" i="24"/>
  <c r="J99" i="24"/>
  <c r="I99" i="24"/>
  <c r="H99" i="24"/>
  <c r="G99" i="24"/>
  <c r="F99" i="24"/>
  <c r="E99" i="24"/>
  <c r="D99" i="24"/>
  <c r="O98" i="24"/>
  <c r="N98" i="24"/>
  <c r="M98" i="24"/>
  <c r="L98" i="24"/>
  <c r="K98" i="24"/>
  <c r="J98" i="24"/>
  <c r="I98" i="24"/>
  <c r="H98" i="24"/>
  <c r="G98" i="24"/>
  <c r="F98" i="24"/>
  <c r="E98" i="24"/>
  <c r="D98" i="24"/>
  <c r="O97" i="24"/>
  <c r="N97" i="24"/>
  <c r="M97" i="24"/>
  <c r="L97" i="24"/>
  <c r="K97" i="24"/>
  <c r="J97" i="24"/>
  <c r="I97" i="24"/>
  <c r="H97" i="24"/>
  <c r="G97" i="24"/>
  <c r="F97" i="24"/>
  <c r="E97" i="24"/>
  <c r="D97" i="24"/>
  <c r="C99" i="24"/>
  <c r="C98" i="24"/>
  <c r="C97" i="24"/>
  <c r="O96" i="24"/>
  <c r="N96" i="24"/>
  <c r="M96" i="24"/>
  <c r="L96" i="24"/>
  <c r="K96" i="24"/>
  <c r="J96" i="24"/>
  <c r="I96" i="24"/>
  <c r="H96" i="24"/>
  <c r="G96" i="24"/>
  <c r="F96" i="24"/>
  <c r="E96" i="24"/>
  <c r="C96" i="24"/>
  <c r="D95" i="24"/>
  <c r="D94" i="24"/>
  <c r="D93" i="24"/>
  <c r="D91" i="24"/>
  <c r="D89" i="24"/>
  <c r="D88" i="24"/>
  <c r="D87" i="24"/>
  <c r="D86" i="24"/>
  <c r="D85" i="24"/>
  <c r="D84" i="24"/>
  <c r="D83" i="24"/>
  <c r="D82" i="24"/>
  <c r="O80" i="24"/>
  <c r="N80" i="24"/>
  <c r="M80" i="24"/>
  <c r="L80" i="24"/>
  <c r="K80" i="24"/>
  <c r="J80" i="24"/>
  <c r="I80" i="24"/>
  <c r="H80" i="24"/>
  <c r="G80" i="24"/>
  <c r="F80" i="24"/>
  <c r="E80" i="24"/>
  <c r="C80" i="24"/>
  <c r="D79" i="24"/>
  <c r="D78" i="24"/>
  <c r="D77" i="24"/>
  <c r="D76" i="24"/>
  <c r="D75" i="24"/>
  <c r="D74" i="24"/>
  <c r="D72" i="24"/>
  <c r="D71" i="24"/>
  <c r="D70" i="24"/>
  <c r="D69" i="24"/>
  <c r="D68" i="24"/>
  <c r="D67" i="24"/>
  <c r="D66" i="24"/>
  <c r="D65" i="24"/>
  <c r="D64" i="24"/>
  <c r="D63" i="24"/>
  <c r="D62" i="24"/>
  <c r="D61" i="24"/>
  <c r="D60" i="24"/>
  <c r="D59" i="24"/>
  <c r="D58" i="24"/>
  <c r="D57" i="24"/>
  <c r="D56" i="24"/>
  <c r="D55" i="24"/>
  <c r="D54" i="24"/>
  <c r="D53" i="24"/>
  <c r="D52" i="24"/>
  <c r="D51" i="24"/>
  <c r="D50" i="24"/>
  <c r="O49" i="24"/>
  <c r="N49" i="24"/>
  <c r="M49" i="24"/>
  <c r="L49" i="24"/>
  <c r="J49" i="24"/>
  <c r="I49" i="24"/>
  <c r="F49" i="24"/>
  <c r="E49" i="24"/>
  <c r="C49" i="24"/>
  <c r="K46" i="24"/>
  <c r="K49" i="24" s="1"/>
  <c r="H46" i="24"/>
  <c r="H49" i="24" s="1"/>
  <c r="G46" i="24"/>
  <c r="G49" i="24" s="1"/>
  <c r="D45" i="24"/>
  <c r="D44" i="24"/>
  <c r="O43" i="24"/>
  <c r="N43" i="24"/>
  <c r="M43" i="24"/>
  <c r="L43" i="24"/>
  <c r="J43" i="24"/>
  <c r="I43" i="24"/>
  <c r="F43" i="24"/>
  <c r="E43" i="24"/>
  <c r="C43" i="24"/>
  <c r="K41" i="24"/>
  <c r="K43" i="24" s="1"/>
  <c r="H41" i="24"/>
  <c r="H43" i="24" s="1"/>
  <c r="G41" i="24"/>
  <c r="G40" i="24"/>
  <c r="D40" i="24" s="1"/>
  <c r="G39" i="24"/>
  <c r="D39" i="24" s="1"/>
  <c r="D38" i="24"/>
  <c r="D37" i="24"/>
  <c r="G35" i="24"/>
  <c r="D35" i="24" s="1"/>
  <c r="G34" i="24"/>
  <c r="D34" i="24" s="1"/>
  <c r="O32" i="24"/>
  <c r="N32" i="24"/>
  <c r="M32" i="24"/>
  <c r="L32" i="24"/>
  <c r="K32" i="24"/>
  <c r="J32" i="24"/>
  <c r="I32" i="24"/>
  <c r="H32" i="24"/>
  <c r="G32" i="24"/>
  <c r="F32" i="24"/>
  <c r="E32" i="24"/>
  <c r="C32" i="24"/>
  <c r="D31" i="24"/>
  <c r="D30" i="24"/>
  <c r="D29" i="24"/>
  <c r="D28" i="24"/>
  <c r="D27" i="24"/>
  <c r="D26" i="24"/>
  <c r="D25" i="24"/>
  <c r="D24" i="24"/>
  <c r="D23" i="24"/>
  <c r="D22" i="24"/>
  <c r="O21" i="24"/>
  <c r="N21" i="24"/>
  <c r="L21" i="24"/>
  <c r="K21" i="24"/>
  <c r="J21" i="24"/>
  <c r="I21" i="24"/>
  <c r="H21" i="24"/>
  <c r="F21" i="24"/>
  <c r="C21" i="24"/>
  <c r="C33" i="24" s="1"/>
  <c r="D20" i="24"/>
  <c r="G19" i="24"/>
  <c r="D19" i="24" s="1"/>
  <c r="M18" i="24"/>
  <c r="M21" i="24" s="1"/>
  <c r="G18" i="24"/>
  <c r="G17" i="24"/>
  <c r="D17" i="24" s="1"/>
  <c r="E16" i="24"/>
  <c r="E21" i="24" s="1"/>
  <c r="D16" i="24"/>
  <c r="O15" i="24"/>
  <c r="N15" i="24"/>
  <c r="M15" i="24"/>
  <c r="L15" i="24"/>
  <c r="K15" i="24"/>
  <c r="J15" i="24"/>
  <c r="H15" i="24"/>
  <c r="G15" i="24"/>
  <c r="F15" i="24"/>
  <c r="E15" i="24"/>
  <c r="C15" i="24"/>
  <c r="D14" i="24"/>
  <c r="D13" i="24"/>
  <c r="D12" i="24"/>
  <c r="D11" i="24"/>
  <c r="D10" i="24"/>
  <c r="D9" i="24"/>
  <c r="D8" i="24"/>
  <c r="D7" i="24"/>
  <c r="I6" i="24"/>
  <c r="I15" i="24" s="1"/>
  <c r="O5" i="24"/>
  <c r="N5" i="24"/>
  <c r="M5" i="24"/>
  <c r="L5" i="24"/>
  <c r="K5" i="24"/>
  <c r="J5" i="24"/>
  <c r="I5" i="24"/>
  <c r="H5" i="24"/>
  <c r="G5" i="24"/>
  <c r="F5" i="24"/>
  <c r="E5" i="24"/>
  <c r="C5" i="24"/>
  <c r="D3" i="24"/>
  <c r="D5" i="24" s="1"/>
  <c r="R80" i="23"/>
  <c r="R99" i="23" s="1"/>
  <c r="T80" i="23"/>
  <c r="T99" i="23" s="1"/>
  <c r="S80" i="23"/>
  <c r="S99" i="23" s="1"/>
  <c r="Q80" i="23"/>
  <c r="Q99" i="23" s="1"/>
  <c r="P80" i="23"/>
  <c r="P99" i="23" s="1"/>
  <c r="O80" i="23"/>
  <c r="O99" i="23" s="1"/>
  <c r="N80" i="23"/>
  <c r="N99" i="23" s="1"/>
  <c r="M80" i="23"/>
  <c r="M99" i="23" s="1"/>
  <c r="L80" i="23"/>
  <c r="L99" i="23" s="1"/>
  <c r="K80" i="23"/>
  <c r="K99" i="23" s="1"/>
  <c r="J80" i="23"/>
  <c r="J99" i="23" s="1"/>
  <c r="I80" i="23"/>
  <c r="I99" i="23" s="1"/>
  <c r="H80" i="23"/>
  <c r="H99" i="23" s="1"/>
  <c r="F80" i="23"/>
  <c r="F99" i="23" s="1"/>
  <c r="E80" i="23"/>
  <c r="E99" i="23" s="1"/>
  <c r="T49" i="23"/>
  <c r="S49" i="23"/>
  <c r="R49" i="23"/>
  <c r="Q49" i="23"/>
  <c r="O49" i="23"/>
  <c r="N49" i="23"/>
  <c r="K49" i="23"/>
  <c r="J49" i="23"/>
  <c r="H49" i="23"/>
  <c r="F49" i="23"/>
  <c r="E49" i="23"/>
  <c r="T43" i="23"/>
  <c r="S43" i="23"/>
  <c r="R43" i="23"/>
  <c r="Q43" i="23"/>
  <c r="O43" i="23"/>
  <c r="N43" i="23"/>
  <c r="K43" i="23"/>
  <c r="J43" i="23"/>
  <c r="H43" i="23"/>
  <c r="F43" i="23"/>
  <c r="T32" i="23"/>
  <c r="S32" i="23"/>
  <c r="R32" i="23"/>
  <c r="Q32" i="23"/>
  <c r="P32" i="23"/>
  <c r="O32" i="23"/>
  <c r="N32" i="23"/>
  <c r="M32" i="23"/>
  <c r="L32" i="23"/>
  <c r="K32" i="23"/>
  <c r="J32" i="23"/>
  <c r="I32" i="23"/>
  <c r="H32" i="23"/>
  <c r="F32" i="23"/>
  <c r="E32" i="23"/>
  <c r="T21" i="23"/>
  <c r="S21" i="23"/>
  <c r="Q21" i="23"/>
  <c r="P21" i="23"/>
  <c r="O21" i="23"/>
  <c r="N21" i="23"/>
  <c r="M21" i="23"/>
  <c r="K21" i="23"/>
  <c r="J21" i="23"/>
  <c r="F21" i="23"/>
  <c r="E21" i="23"/>
  <c r="T5" i="23"/>
  <c r="S5" i="23"/>
  <c r="R5" i="23"/>
  <c r="Q5" i="23"/>
  <c r="P5" i="23"/>
  <c r="O5" i="23"/>
  <c r="T15" i="23"/>
  <c r="S15" i="23"/>
  <c r="R15" i="23"/>
  <c r="Q15" i="23"/>
  <c r="P15" i="23"/>
  <c r="O15" i="23"/>
  <c r="O96" i="23"/>
  <c r="P96" i="23"/>
  <c r="Q96" i="23"/>
  <c r="R96" i="23"/>
  <c r="S96" i="23"/>
  <c r="T96" i="23"/>
  <c r="G3" i="23"/>
  <c r="G5" i="23" s="1"/>
  <c r="F15" i="23"/>
  <c r="I16" i="23"/>
  <c r="I21" i="23" s="1"/>
  <c r="E15" i="23"/>
  <c r="E43" i="23"/>
  <c r="F96" i="23"/>
  <c r="N96" i="23"/>
  <c r="M96" i="23"/>
  <c r="L96" i="23"/>
  <c r="K96" i="23"/>
  <c r="J96" i="23"/>
  <c r="I96" i="23"/>
  <c r="H96" i="23"/>
  <c r="E96" i="23"/>
  <c r="M15" i="23"/>
  <c r="L15" i="23"/>
  <c r="K15" i="23"/>
  <c r="J15" i="23"/>
  <c r="I15" i="23"/>
  <c r="H15" i="23"/>
  <c r="N5" i="23"/>
  <c r="M5" i="23"/>
  <c r="L5" i="23"/>
  <c r="K5" i="23"/>
  <c r="J5" i="23"/>
  <c r="I5" i="23"/>
  <c r="H5" i="23"/>
  <c r="F5" i="23"/>
  <c r="E5" i="23"/>
  <c r="G79" i="23"/>
  <c r="K79" i="8" s="1"/>
  <c r="S79" i="8" s="1"/>
  <c r="G78" i="23"/>
  <c r="K78" i="8" s="1"/>
  <c r="S78" i="8" s="1"/>
  <c r="G77" i="23"/>
  <c r="K77" i="8" s="1"/>
  <c r="S77" i="8" s="1"/>
  <c r="G76" i="23"/>
  <c r="K76" i="8" s="1"/>
  <c r="S76" i="8" s="1"/>
  <c r="G75" i="23"/>
  <c r="K75" i="8" s="1"/>
  <c r="S75" i="8" s="1"/>
  <c r="G74" i="23"/>
  <c r="K74" i="8" s="1"/>
  <c r="S74" i="8" s="1"/>
  <c r="G72" i="23"/>
  <c r="K72" i="8" s="1"/>
  <c r="S72" i="8" s="1"/>
  <c r="G71" i="23"/>
  <c r="K71" i="8" s="1"/>
  <c r="S71" i="8" s="1"/>
  <c r="G70" i="23"/>
  <c r="K70" i="8" s="1"/>
  <c r="S70" i="8" s="1"/>
  <c r="G69" i="23"/>
  <c r="K69" i="8" s="1"/>
  <c r="S69" i="8" s="1"/>
  <c r="G68" i="23"/>
  <c r="K68" i="8" s="1"/>
  <c r="S68" i="8" s="1"/>
  <c r="G67" i="23"/>
  <c r="K67" i="8" s="1"/>
  <c r="S67" i="8" s="1"/>
  <c r="G66" i="23"/>
  <c r="K66" i="8" s="1"/>
  <c r="S66" i="8" s="1"/>
  <c r="G65" i="23"/>
  <c r="K65" i="8" s="1"/>
  <c r="S65" i="8" s="1"/>
  <c r="G64" i="23"/>
  <c r="K64" i="8" s="1"/>
  <c r="S64" i="8" s="1"/>
  <c r="G63" i="23"/>
  <c r="K63" i="8" s="1"/>
  <c r="S63" i="8" s="1"/>
  <c r="G62" i="23"/>
  <c r="K62" i="8" s="1"/>
  <c r="S62" i="8" s="1"/>
  <c r="G61" i="23"/>
  <c r="K61" i="8" s="1"/>
  <c r="S61" i="8" s="1"/>
  <c r="G60" i="23"/>
  <c r="K60" i="8" s="1"/>
  <c r="S60" i="8" s="1"/>
  <c r="G59" i="23"/>
  <c r="K59" i="8" s="1"/>
  <c r="S59" i="8" s="1"/>
  <c r="G58" i="23"/>
  <c r="K58" i="8" s="1"/>
  <c r="S58" i="8" s="1"/>
  <c r="G57" i="23"/>
  <c r="K57" i="8" s="1"/>
  <c r="S57" i="8" s="1"/>
  <c r="G56" i="23"/>
  <c r="K56" i="8" s="1"/>
  <c r="S56" i="8" s="1"/>
  <c r="G55" i="23"/>
  <c r="K55" i="8" s="1"/>
  <c r="S55" i="8" s="1"/>
  <c r="G54" i="23"/>
  <c r="K54" i="8" s="1"/>
  <c r="S54" i="8" s="1"/>
  <c r="G53" i="23"/>
  <c r="K53" i="8" s="1"/>
  <c r="S53" i="8" s="1"/>
  <c r="G52" i="23"/>
  <c r="K52" i="8" s="1"/>
  <c r="S52" i="8" s="1"/>
  <c r="G51" i="23"/>
  <c r="K51" i="8" s="1"/>
  <c r="S51" i="8" s="1"/>
  <c r="G50" i="23"/>
  <c r="K50" i="8" s="1"/>
  <c r="S50" i="8" s="1"/>
  <c r="G95" i="23"/>
  <c r="K95" i="8" s="1"/>
  <c r="S95" i="8" s="1"/>
  <c r="G94" i="23"/>
  <c r="K94" i="8" s="1"/>
  <c r="S94" i="8" s="1"/>
  <c r="G93" i="23"/>
  <c r="K93" i="8" s="1"/>
  <c r="S93" i="8" s="1"/>
  <c r="G91" i="23"/>
  <c r="K91" i="8" s="1"/>
  <c r="S91" i="8" s="1"/>
  <c r="G89" i="23"/>
  <c r="K89" i="8" s="1"/>
  <c r="S89" i="8" s="1"/>
  <c r="G88" i="23"/>
  <c r="K88" i="8" s="1"/>
  <c r="S88" i="8" s="1"/>
  <c r="G87" i="23"/>
  <c r="K87" i="8" s="1"/>
  <c r="S87" i="8" s="1"/>
  <c r="G86" i="23"/>
  <c r="K86" i="8" s="1"/>
  <c r="S86" i="8" s="1"/>
  <c r="G85" i="23"/>
  <c r="K85" i="8" s="1"/>
  <c r="S85" i="8" s="1"/>
  <c r="G84" i="23"/>
  <c r="K84" i="8" s="1"/>
  <c r="S84" i="8" s="1"/>
  <c r="G83" i="23"/>
  <c r="K83" i="8" s="1"/>
  <c r="S83" i="8" s="1"/>
  <c r="G82" i="23"/>
  <c r="K82" i="8" s="1"/>
  <c r="S82" i="8" s="1"/>
  <c r="G31" i="23"/>
  <c r="K31" i="8" s="1"/>
  <c r="S31" i="8" s="1"/>
  <c r="G30" i="23"/>
  <c r="K30" i="8" s="1"/>
  <c r="S30" i="8" s="1"/>
  <c r="G29" i="23"/>
  <c r="K29" i="8" s="1"/>
  <c r="S29" i="8" s="1"/>
  <c r="G28" i="23"/>
  <c r="K28" i="8" s="1"/>
  <c r="S28" i="8" s="1"/>
  <c r="G27" i="23"/>
  <c r="K27" i="8" s="1"/>
  <c r="S27" i="8" s="1"/>
  <c r="G26" i="23"/>
  <c r="K26" i="8" s="1"/>
  <c r="S26" i="8" s="1"/>
  <c r="G25" i="23"/>
  <c r="K25" i="8" s="1"/>
  <c r="S25" i="8" s="1"/>
  <c r="G24" i="23"/>
  <c r="K24" i="8" s="1"/>
  <c r="S24" i="8" s="1"/>
  <c r="G23" i="23"/>
  <c r="K23" i="8" s="1"/>
  <c r="S23" i="8" s="1"/>
  <c r="G22" i="23"/>
  <c r="K22" i="8" s="1"/>
  <c r="S22" i="8" s="1"/>
  <c r="G14" i="23"/>
  <c r="K14" i="8" s="1"/>
  <c r="S14" i="8" s="1"/>
  <c r="G13" i="23"/>
  <c r="K13" i="8" s="1"/>
  <c r="S13" i="8" s="1"/>
  <c r="G12" i="23"/>
  <c r="K12" i="8" s="1"/>
  <c r="S12" i="8" s="1"/>
  <c r="G11" i="23"/>
  <c r="K11" i="8" s="1"/>
  <c r="S11" i="8" s="1"/>
  <c r="G10" i="23"/>
  <c r="K10" i="8" s="1"/>
  <c r="S10" i="8" s="1"/>
  <c r="G9" i="23"/>
  <c r="K9" i="8" s="1"/>
  <c r="S9" i="8" s="1"/>
  <c r="G8" i="23"/>
  <c r="K8" i="8" s="1"/>
  <c r="S8" i="8" s="1"/>
  <c r="G7" i="23"/>
  <c r="K7" i="8" s="1"/>
  <c r="S7" i="8" s="1"/>
  <c r="P46" i="23"/>
  <c r="P49" i="23" s="1"/>
  <c r="M46" i="23"/>
  <c r="M49" i="23" s="1"/>
  <c r="L46" i="23"/>
  <c r="L49" i="23" s="1"/>
  <c r="I46" i="23"/>
  <c r="I49" i="23" s="1"/>
  <c r="P41" i="23"/>
  <c r="P43" i="23" s="1"/>
  <c r="M41" i="23"/>
  <c r="M43" i="23" s="1"/>
  <c r="L41" i="23"/>
  <c r="I41" i="23"/>
  <c r="L40" i="23"/>
  <c r="G40" i="23" s="1"/>
  <c r="K40" i="8" s="1"/>
  <c r="S40" i="8" s="1"/>
  <c r="L39" i="23"/>
  <c r="G39" i="23" s="1"/>
  <c r="K39" i="8" s="1"/>
  <c r="S39" i="8" s="1"/>
  <c r="G38" i="23"/>
  <c r="K38" i="8" s="1"/>
  <c r="S38" i="8" s="1"/>
  <c r="G37" i="23"/>
  <c r="K37" i="8" s="1"/>
  <c r="S37" i="8" s="1"/>
  <c r="L35" i="23"/>
  <c r="G35" i="23" s="1"/>
  <c r="K35" i="8" s="1"/>
  <c r="S35" i="8" s="1"/>
  <c r="I35" i="23"/>
  <c r="G45" i="23"/>
  <c r="K45" i="8" s="1"/>
  <c r="S45" i="8" s="1"/>
  <c r="L34" i="23"/>
  <c r="G34" i="23" s="1"/>
  <c r="K34" i="8" s="1"/>
  <c r="S34" i="8" s="1"/>
  <c r="G20" i="23"/>
  <c r="K20" i="8" s="1"/>
  <c r="S20" i="8" s="1"/>
  <c r="L19" i="23"/>
  <c r="G19" i="23" s="1"/>
  <c r="K19" i="8" s="1"/>
  <c r="S19" i="8" s="1"/>
  <c r="R18" i="23"/>
  <c r="R21" i="23" s="1"/>
  <c r="L18" i="23"/>
  <c r="L17" i="23"/>
  <c r="G17" i="23" s="1"/>
  <c r="K17" i="8" s="1"/>
  <c r="S17" i="8" s="1"/>
  <c r="H16" i="23"/>
  <c r="H21" i="23" s="1"/>
  <c r="G16" i="23"/>
  <c r="K16" i="8" s="1"/>
  <c r="S16" i="8" s="1"/>
  <c r="N6" i="23"/>
  <c r="G6" i="23" s="1"/>
  <c r="K6" i="8" s="1"/>
  <c r="S6" i="8" s="1"/>
  <c r="G44" i="23"/>
  <c r="K44" i="8" s="1"/>
  <c r="S44" i="8" s="1"/>
  <c r="Q98" i="23" l="1"/>
  <c r="R98" i="23"/>
  <c r="P97" i="23"/>
  <c r="M98" i="23"/>
  <c r="E97" i="23"/>
  <c r="F97" i="23"/>
  <c r="S97" i="23"/>
  <c r="I98" i="23"/>
  <c r="P98" i="23"/>
  <c r="F98" i="23"/>
  <c r="O98" i="23"/>
  <c r="J97" i="23"/>
  <c r="T97" i="23"/>
  <c r="R97" i="23"/>
  <c r="H98" i="23"/>
  <c r="K97" i="23"/>
  <c r="H97" i="23"/>
  <c r="Q97" i="23"/>
  <c r="J98" i="23"/>
  <c r="M97" i="23"/>
  <c r="N97" i="23"/>
  <c r="E98" i="23"/>
  <c r="K98" i="23"/>
  <c r="S98" i="23"/>
  <c r="O97" i="23"/>
  <c r="S96" i="8"/>
  <c r="L98" i="23"/>
  <c r="T98" i="23"/>
  <c r="K3" i="8"/>
  <c r="S32" i="8"/>
  <c r="R49" i="8"/>
  <c r="R32" i="8"/>
  <c r="R80" i="8"/>
  <c r="Q32" i="8"/>
  <c r="Q80" i="8"/>
  <c r="S80" i="8"/>
  <c r="Q15" i="8"/>
  <c r="Q43" i="8"/>
  <c r="R15" i="8"/>
  <c r="R96" i="8"/>
  <c r="Q96" i="8"/>
  <c r="S15" i="8"/>
  <c r="Q21" i="8"/>
  <c r="Q49" i="8"/>
  <c r="R43" i="8"/>
  <c r="K5" i="8"/>
  <c r="S4" i="8"/>
  <c r="J21" i="8"/>
  <c r="L5" i="8"/>
  <c r="O33" i="23"/>
  <c r="L16" i="8"/>
  <c r="R16" i="8" s="1"/>
  <c r="R21" i="8" s="1"/>
  <c r="R3" i="8"/>
  <c r="R5" i="8" s="1"/>
  <c r="M5" i="8"/>
  <c r="I52" i="8"/>
  <c r="N52" i="8" s="1"/>
  <c r="I67" i="8"/>
  <c r="N67" i="8" s="1"/>
  <c r="O67" i="8" s="1"/>
  <c r="I95" i="8"/>
  <c r="N95" i="8" s="1"/>
  <c r="O95" i="8" s="1"/>
  <c r="O54" i="8"/>
  <c r="J43" i="8"/>
  <c r="L49" i="8"/>
  <c r="O58" i="8"/>
  <c r="J15" i="8"/>
  <c r="K15" i="8"/>
  <c r="M21" i="8"/>
  <c r="M33" i="8" s="1"/>
  <c r="M49" i="8"/>
  <c r="J49" i="8"/>
  <c r="O70" i="8"/>
  <c r="O92" i="8"/>
  <c r="P81" i="8"/>
  <c r="O93" i="8"/>
  <c r="I72" i="8"/>
  <c r="N72" i="8" s="1"/>
  <c r="J80" i="8"/>
  <c r="J99" i="8" s="1"/>
  <c r="K80" i="8"/>
  <c r="K99" i="8" s="1"/>
  <c r="K32" i="8"/>
  <c r="M32" i="8"/>
  <c r="L32" i="8"/>
  <c r="I59" i="8"/>
  <c r="N59" i="8" s="1"/>
  <c r="H80" i="8"/>
  <c r="I86" i="8"/>
  <c r="N86" i="8" s="1"/>
  <c r="M15" i="8"/>
  <c r="L15" i="8"/>
  <c r="I68" i="8"/>
  <c r="N68" i="8" s="1"/>
  <c r="I91" i="8"/>
  <c r="N91" i="8" s="1"/>
  <c r="L43" i="8"/>
  <c r="M80" i="8"/>
  <c r="M99" i="8" s="1"/>
  <c r="G80" i="8"/>
  <c r="G99" i="8" s="1"/>
  <c r="I28" i="8"/>
  <c r="N28" i="8" s="1"/>
  <c r="L80" i="8"/>
  <c r="L99" i="8" s="1"/>
  <c r="I75" i="8"/>
  <c r="N75" i="8" s="1"/>
  <c r="I83" i="8"/>
  <c r="N83" i="8" s="1"/>
  <c r="P99" i="8"/>
  <c r="J96" i="8"/>
  <c r="M43" i="8"/>
  <c r="I57" i="8"/>
  <c r="N57" i="8" s="1"/>
  <c r="I89" i="8"/>
  <c r="N89" i="8" s="1"/>
  <c r="J5" i="8"/>
  <c r="J32" i="8"/>
  <c r="M96" i="8"/>
  <c r="L96" i="8"/>
  <c r="K96" i="8"/>
  <c r="P97" i="8"/>
  <c r="P98" i="8"/>
  <c r="I87" i="8"/>
  <c r="N87" i="8" s="1"/>
  <c r="I77" i="8"/>
  <c r="N77" i="8" s="1"/>
  <c r="C81" i="8"/>
  <c r="D81" i="8"/>
  <c r="D97" i="8"/>
  <c r="E97" i="8"/>
  <c r="C98" i="8"/>
  <c r="D98" i="8"/>
  <c r="E98" i="8"/>
  <c r="F97" i="8"/>
  <c r="F98" i="8"/>
  <c r="F100" i="8" s="1"/>
  <c r="I12" i="8"/>
  <c r="N12" i="8" s="1"/>
  <c r="O12" i="8" s="1"/>
  <c r="E81" i="8"/>
  <c r="I7" i="8"/>
  <c r="N7" i="8" s="1"/>
  <c r="I25" i="8"/>
  <c r="N25" i="8" s="1"/>
  <c r="I44" i="8"/>
  <c r="N44" i="8" s="1"/>
  <c r="I56" i="8"/>
  <c r="N56" i="8" s="1"/>
  <c r="F81" i="8"/>
  <c r="E99" i="8"/>
  <c r="I74" i="8"/>
  <c r="N74" i="8" s="1"/>
  <c r="C97" i="8"/>
  <c r="H49" i="8"/>
  <c r="I37" i="8"/>
  <c r="N37" i="8" s="1"/>
  <c r="I85" i="8"/>
  <c r="N85" i="8" s="1"/>
  <c r="G32" i="8"/>
  <c r="I50" i="8"/>
  <c r="N50" i="8" s="1"/>
  <c r="O50" i="8" s="1"/>
  <c r="I3" i="8"/>
  <c r="N3" i="8" s="1"/>
  <c r="I26" i="8"/>
  <c r="N26" i="8" s="1"/>
  <c r="I65" i="8"/>
  <c r="N65" i="8" s="1"/>
  <c r="I84" i="8"/>
  <c r="N84" i="8" s="1"/>
  <c r="I22" i="8"/>
  <c r="N22" i="8" s="1"/>
  <c r="I78" i="8"/>
  <c r="N78" i="8" s="1"/>
  <c r="I30" i="8"/>
  <c r="N30" i="8" s="1"/>
  <c r="I76" i="8"/>
  <c r="N76" i="8" s="1"/>
  <c r="I61" i="8"/>
  <c r="N61" i="8" s="1"/>
  <c r="I69" i="8"/>
  <c r="N69" i="8" s="1"/>
  <c r="H5" i="8"/>
  <c r="G5" i="8"/>
  <c r="I18" i="8"/>
  <c r="N18" i="8" s="1"/>
  <c r="O18" i="8" s="1"/>
  <c r="I27" i="8"/>
  <c r="N27" i="8" s="1"/>
  <c r="I31" i="8"/>
  <c r="N31" i="8" s="1"/>
  <c r="G43" i="8"/>
  <c r="I63" i="8"/>
  <c r="N63" i="8" s="1"/>
  <c r="I71" i="8"/>
  <c r="N71" i="8" s="1"/>
  <c r="G21" i="8"/>
  <c r="I35" i="8"/>
  <c r="N35" i="8" s="1"/>
  <c r="G49" i="8"/>
  <c r="G96" i="8"/>
  <c r="H96" i="8"/>
  <c r="I82" i="8"/>
  <c r="N82" i="8" s="1"/>
  <c r="H43" i="8"/>
  <c r="H32" i="8"/>
  <c r="H21" i="8"/>
  <c r="H15" i="8"/>
  <c r="G15" i="8"/>
  <c r="C33" i="8"/>
  <c r="F33" i="8"/>
  <c r="P33" i="8"/>
  <c r="E33" i="8"/>
  <c r="D33" i="8"/>
  <c r="O33" i="24"/>
  <c r="J33" i="24"/>
  <c r="N33" i="23"/>
  <c r="G81" i="24"/>
  <c r="D6" i="24"/>
  <c r="M81" i="24"/>
  <c r="D18" i="24"/>
  <c r="D21" i="24" s="1"/>
  <c r="N33" i="24"/>
  <c r="I33" i="24"/>
  <c r="L81" i="24"/>
  <c r="N81" i="24"/>
  <c r="E33" i="24"/>
  <c r="I81" i="24"/>
  <c r="J81" i="24"/>
  <c r="F33" i="24"/>
  <c r="K33" i="24"/>
  <c r="H81" i="24"/>
  <c r="O81" i="24"/>
  <c r="O100" i="24" s="1"/>
  <c r="L33" i="24"/>
  <c r="C81" i="24"/>
  <c r="C100" i="24" s="1"/>
  <c r="E81" i="24"/>
  <c r="E100" i="24" s="1"/>
  <c r="F81" i="24"/>
  <c r="D80" i="24"/>
  <c r="D32" i="24"/>
  <c r="H33" i="24"/>
  <c r="G43" i="24"/>
  <c r="D46" i="24"/>
  <c r="D49" i="24" s="1"/>
  <c r="G21" i="24"/>
  <c r="G33" i="24" s="1"/>
  <c r="D15" i="24"/>
  <c r="M33" i="24"/>
  <c r="M100" i="24" s="1"/>
  <c r="D96" i="24"/>
  <c r="K81" i="24"/>
  <c r="K100" i="24" s="1"/>
  <c r="D41" i="24"/>
  <c r="D43" i="24" s="1"/>
  <c r="E33" i="23"/>
  <c r="F33" i="23"/>
  <c r="M81" i="23"/>
  <c r="H33" i="23"/>
  <c r="I43" i="23"/>
  <c r="I97" i="23" s="1"/>
  <c r="L81" i="23"/>
  <c r="M33" i="23"/>
  <c r="S33" i="23"/>
  <c r="K33" i="23"/>
  <c r="F81" i="23"/>
  <c r="P33" i="23"/>
  <c r="T33" i="23"/>
  <c r="G80" i="23"/>
  <c r="G99" i="23" s="1"/>
  <c r="N81" i="23"/>
  <c r="H81" i="23"/>
  <c r="E81" i="23"/>
  <c r="Q33" i="23"/>
  <c r="F100" i="23"/>
  <c r="G107" i="23" s="1"/>
  <c r="I81" i="23"/>
  <c r="Q81" i="23"/>
  <c r="P81" i="23"/>
  <c r="G32" i="23"/>
  <c r="L21" i="23"/>
  <c r="J81" i="23"/>
  <c r="S81" i="23"/>
  <c r="L43" i="23"/>
  <c r="K81" i="23"/>
  <c r="T81" i="23"/>
  <c r="R81" i="23"/>
  <c r="I33" i="23"/>
  <c r="J33" i="23"/>
  <c r="R33" i="23"/>
  <c r="O81" i="23"/>
  <c r="O100" i="23" s="1"/>
  <c r="G15" i="23"/>
  <c r="G96" i="23"/>
  <c r="G18" i="23"/>
  <c r="N15" i="23"/>
  <c r="N98" i="23" s="1"/>
  <c r="G41" i="23"/>
  <c r="G46" i="23"/>
  <c r="E100" i="23" l="1"/>
  <c r="L21" i="8"/>
  <c r="L33" i="8" s="1"/>
  <c r="G98" i="23"/>
  <c r="M98" i="8"/>
  <c r="J33" i="8"/>
  <c r="J81" i="8"/>
  <c r="Q33" i="8"/>
  <c r="R98" i="8"/>
  <c r="L33" i="23"/>
  <c r="L100" i="23" s="1"/>
  <c r="M108" i="23" s="1"/>
  <c r="L97" i="23"/>
  <c r="Q99" i="8"/>
  <c r="Q81" i="8"/>
  <c r="G21" i="23"/>
  <c r="G33" i="23" s="1"/>
  <c r="K18" i="8"/>
  <c r="R33" i="8"/>
  <c r="R97" i="8"/>
  <c r="R99" i="8"/>
  <c r="R81" i="8"/>
  <c r="Q97" i="8"/>
  <c r="G49" i="23"/>
  <c r="G81" i="23" s="1"/>
  <c r="K46" i="8"/>
  <c r="G43" i="23"/>
  <c r="K41" i="8"/>
  <c r="S99" i="8"/>
  <c r="O3" i="8"/>
  <c r="Q3" i="8"/>
  <c r="M97" i="8"/>
  <c r="M100" i="8" s="1"/>
  <c r="J98" i="8"/>
  <c r="L98" i="8"/>
  <c r="I80" i="8"/>
  <c r="K98" i="8"/>
  <c r="L81" i="8"/>
  <c r="O52" i="8"/>
  <c r="J97" i="8"/>
  <c r="O30" i="8"/>
  <c r="O78" i="8"/>
  <c r="O22" i="8"/>
  <c r="O35" i="8"/>
  <c r="O43" i="8" s="1"/>
  <c r="O84" i="8"/>
  <c r="O25" i="8"/>
  <c r="O89" i="8"/>
  <c r="O75" i="8"/>
  <c r="O91" i="8"/>
  <c r="O31" i="8"/>
  <c r="O85" i="8"/>
  <c r="O77" i="8"/>
  <c r="O59" i="8"/>
  <c r="O44" i="8"/>
  <c r="O49" i="8" s="1"/>
  <c r="O65" i="8"/>
  <c r="O7" i="8"/>
  <c r="O57" i="8"/>
  <c r="O68" i="8"/>
  <c r="O27" i="8"/>
  <c r="M81" i="8"/>
  <c r="G81" i="8"/>
  <c r="O37" i="8"/>
  <c r="O87" i="8"/>
  <c r="O83" i="8"/>
  <c r="O71" i="8"/>
  <c r="O69" i="8"/>
  <c r="O26" i="8"/>
  <c r="O74" i="8"/>
  <c r="O56" i="8"/>
  <c r="O63" i="8"/>
  <c r="O61" i="8"/>
  <c r="O28" i="8"/>
  <c r="O82" i="8"/>
  <c r="O76" i="8"/>
  <c r="O86" i="8"/>
  <c r="O72" i="8"/>
  <c r="O21" i="8"/>
  <c r="H99" i="8"/>
  <c r="I99" i="8" s="1"/>
  <c r="H81" i="8"/>
  <c r="P100" i="8"/>
  <c r="D100" i="8"/>
  <c r="I96" i="8"/>
  <c r="N49" i="8"/>
  <c r="H97" i="8"/>
  <c r="C100" i="8"/>
  <c r="E100" i="8"/>
  <c r="G98" i="8"/>
  <c r="H98" i="8"/>
  <c r="I32" i="8"/>
  <c r="G33" i="8"/>
  <c r="G97" i="8"/>
  <c r="N80" i="8"/>
  <c r="I21" i="8"/>
  <c r="I49" i="8"/>
  <c r="I15" i="8"/>
  <c r="I5" i="8"/>
  <c r="N21" i="8"/>
  <c r="N32" i="8"/>
  <c r="I43" i="8"/>
  <c r="N43" i="8"/>
  <c r="N96" i="8"/>
  <c r="H33" i="8"/>
  <c r="N15" i="8"/>
  <c r="N5" i="8"/>
  <c r="J100" i="24"/>
  <c r="L100" i="24"/>
  <c r="I100" i="24"/>
  <c r="N100" i="24"/>
  <c r="M100" i="23"/>
  <c r="H100" i="24"/>
  <c r="F100" i="24"/>
  <c r="G100" i="24"/>
  <c r="D33" i="24"/>
  <c r="D81" i="24"/>
  <c r="I100" i="23"/>
  <c r="S100" i="23"/>
  <c r="H100" i="23"/>
  <c r="T100" i="23"/>
  <c r="M111" i="23" s="1"/>
  <c r="P100" i="23"/>
  <c r="K100" i="23"/>
  <c r="G111" i="23" s="1"/>
  <c r="J100" i="23"/>
  <c r="N100" i="23"/>
  <c r="R100" i="23"/>
  <c r="M110" i="23" s="1"/>
  <c r="Q100" i="23"/>
  <c r="E30" i="18"/>
  <c r="I40" i="18"/>
  <c r="K40" i="18"/>
  <c r="L40" i="18"/>
  <c r="O40" i="18"/>
  <c r="P40" i="18"/>
  <c r="R40" i="18"/>
  <c r="S40" i="18"/>
  <c r="T40" i="18"/>
  <c r="U40" i="18"/>
  <c r="E40" i="18"/>
  <c r="O30" i="18"/>
  <c r="G30" i="18"/>
  <c r="K30" i="18"/>
  <c r="L30" i="18"/>
  <c r="N30" i="18"/>
  <c r="P30" i="18"/>
  <c r="Q30" i="18"/>
  <c r="R30" i="18"/>
  <c r="T30" i="18"/>
  <c r="U30" i="18"/>
  <c r="G14" i="18"/>
  <c r="I14" i="18"/>
  <c r="J14" i="18"/>
  <c r="K14" i="18"/>
  <c r="L14" i="18"/>
  <c r="M14" i="18"/>
  <c r="N14" i="18"/>
  <c r="P14" i="18"/>
  <c r="Q14" i="18"/>
  <c r="R14" i="18"/>
  <c r="S14" i="18"/>
  <c r="T14" i="18"/>
  <c r="U14" i="18"/>
  <c r="E14" i="18"/>
  <c r="F4" i="18"/>
  <c r="G4" i="18"/>
  <c r="I4" i="18"/>
  <c r="J4" i="18"/>
  <c r="K4" i="18"/>
  <c r="L4" i="18"/>
  <c r="M4" i="18"/>
  <c r="N4" i="18"/>
  <c r="O4" i="18"/>
  <c r="P4" i="18"/>
  <c r="Q4" i="18"/>
  <c r="R4" i="18"/>
  <c r="S4" i="18"/>
  <c r="T4" i="18"/>
  <c r="E4" i="18"/>
  <c r="L97" i="8" l="1"/>
  <c r="L100" i="8" s="1"/>
  <c r="M109" i="23"/>
  <c r="J100" i="8"/>
  <c r="G97" i="23"/>
  <c r="S18" i="8"/>
  <c r="S21" i="8" s="1"/>
  <c r="K21" i="8"/>
  <c r="S46" i="8"/>
  <c r="S49" i="8" s="1"/>
  <c r="S81" i="8" s="1"/>
  <c r="K49" i="8"/>
  <c r="K81" i="8" s="1"/>
  <c r="S41" i="8"/>
  <c r="S43" i="8" s="1"/>
  <c r="K43" i="8"/>
  <c r="R100" i="8"/>
  <c r="Q5" i="8"/>
  <c r="Q98" i="8" s="1"/>
  <c r="Q100" i="8" s="1"/>
  <c r="O5" i="8"/>
  <c r="S3" i="8"/>
  <c r="I81" i="8"/>
  <c r="O80" i="8"/>
  <c r="O99" i="8"/>
  <c r="O81" i="8"/>
  <c r="O32" i="8"/>
  <c r="O33" i="8" s="1"/>
  <c r="O97" i="8"/>
  <c r="O96" i="8"/>
  <c r="O15" i="8"/>
  <c r="H100" i="8"/>
  <c r="G100" i="8"/>
  <c r="I33" i="8"/>
  <c r="I98" i="8"/>
  <c r="N81" i="8"/>
  <c r="N99" i="8"/>
  <c r="N98" i="8"/>
  <c r="N97" i="8"/>
  <c r="I97" i="8"/>
  <c r="N33" i="8"/>
  <c r="G100" i="23"/>
  <c r="G108" i="23" s="1"/>
  <c r="D100" i="24"/>
  <c r="U91" i="18"/>
  <c r="T91" i="18"/>
  <c r="S91" i="18"/>
  <c r="R91" i="18"/>
  <c r="Q91" i="18"/>
  <c r="P91" i="18"/>
  <c r="O91" i="18"/>
  <c r="N91" i="18"/>
  <c r="M91" i="18"/>
  <c r="L91" i="18"/>
  <c r="K91" i="18"/>
  <c r="J91" i="18"/>
  <c r="I91" i="18"/>
  <c r="G91" i="18"/>
  <c r="E91" i="18"/>
  <c r="H90" i="18"/>
  <c r="H89" i="18"/>
  <c r="H88" i="18"/>
  <c r="H87" i="18"/>
  <c r="H85" i="18"/>
  <c r="H83" i="18"/>
  <c r="H82" i="18"/>
  <c r="H81" i="18"/>
  <c r="H80" i="18"/>
  <c r="H79" i="18"/>
  <c r="H78" i="18"/>
  <c r="H77" i="18"/>
  <c r="H75" i="18"/>
  <c r="H74" i="18"/>
  <c r="H73" i="18"/>
  <c r="H72" i="18"/>
  <c r="H71" i="18"/>
  <c r="H70" i="18"/>
  <c r="H68" i="18"/>
  <c r="H67" i="18"/>
  <c r="H66" i="18"/>
  <c r="H65" i="18"/>
  <c r="H64" i="18"/>
  <c r="H63" i="18"/>
  <c r="H62" i="18"/>
  <c r="H61" i="18"/>
  <c r="H60" i="18"/>
  <c r="H59" i="18"/>
  <c r="H58" i="18"/>
  <c r="H57" i="18"/>
  <c r="H56" i="18"/>
  <c r="H55" i="18"/>
  <c r="H54" i="18"/>
  <c r="H53" i="18"/>
  <c r="H52" i="18"/>
  <c r="H51" i="18"/>
  <c r="H50" i="18"/>
  <c r="H49" i="18"/>
  <c r="H48" i="18"/>
  <c r="H47" i="18"/>
  <c r="H46" i="18"/>
  <c r="Q43" i="18"/>
  <c r="N43" i="18"/>
  <c r="M43" i="18"/>
  <c r="J43" i="18"/>
  <c r="H42" i="18"/>
  <c r="H41" i="18"/>
  <c r="Q39" i="18"/>
  <c r="Q40" i="18" s="1"/>
  <c r="N39" i="18"/>
  <c r="N40" i="18" s="1"/>
  <c r="M39" i="18"/>
  <c r="H39" i="18" s="1"/>
  <c r="J39" i="18"/>
  <c r="M32" i="18"/>
  <c r="H32" i="18"/>
  <c r="M33" i="18"/>
  <c r="H33" i="18" s="1"/>
  <c r="H38" i="18"/>
  <c r="H34" i="18"/>
  <c r="M31" i="18"/>
  <c r="M40" i="18" s="1"/>
  <c r="J31" i="18"/>
  <c r="G31" i="18"/>
  <c r="G40" i="18" s="1"/>
  <c r="M35" i="18"/>
  <c r="H35" i="18" s="1"/>
  <c r="H27" i="18"/>
  <c r="H26" i="18"/>
  <c r="H25" i="18"/>
  <c r="H24" i="18"/>
  <c r="H23" i="18"/>
  <c r="H22" i="18"/>
  <c r="H20" i="18"/>
  <c r="H18" i="18"/>
  <c r="H16" i="18"/>
  <c r="H15" i="18"/>
  <c r="H29" i="18"/>
  <c r="H21" i="18"/>
  <c r="S28" i="18"/>
  <c r="M28" i="18"/>
  <c r="M19" i="18"/>
  <c r="J17" i="18"/>
  <c r="J30" i="18" s="1"/>
  <c r="I17" i="18"/>
  <c r="I30" i="18" s="1"/>
  <c r="H17" i="18"/>
  <c r="H13" i="18"/>
  <c r="H12" i="18"/>
  <c r="H11" i="18"/>
  <c r="H10" i="18"/>
  <c r="H9" i="18"/>
  <c r="H8" i="18"/>
  <c r="H7" i="18"/>
  <c r="H6" i="18"/>
  <c r="O5" i="18"/>
  <c r="U4" i="18"/>
  <c r="H2" i="18"/>
  <c r="H4" i="18" s="1"/>
  <c r="M112" i="23" l="1"/>
  <c r="N109" i="23" s="1"/>
  <c r="O107" i="8"/>
  <c r="P107" i="8" s="1"/>
  <c r="P110" i="8"/>
  <c r="O108" i="8"/>
  <c r="P108" i="8" s="1"/>
  <c r="S33" i="8"/>
  <c r="S97" i="8"/>
  <c r="K33" i="8"/>
  <c r="K97" i="8"/>
  <c r="K100" i="8" s="1"/>
  <c r="O98" i="8"/>
  <c r="O100" i="8" s="1"/>
  <c r="N100" i="8"/>
  <c r="I100" i="8"/>
  <c r="G109" i="23"/>
  <c r="G110" i="23" s="1"/>
  <c r="J40" i="18"/>
  <c r="H5" i="18"/>
  <c r="H14" i="18" s="1"/>
  <c r="O14" i="18"/>
  <c r="H19" i="18"/>
  <c r="H30" i="18" s="1"/>
  <c r="M30" i="18"/>
  <c r="H28" i="18"/>
  <c r="S30" i="18"/>
  <c r="H91" i="18"/>
  <c r="N76" i="18"/>
  <c r="Q76" i="18"/>
  <c r="H43" i="18"/>
  <c r="H31" i="18"/>
  <c r="H40" i="18" s="1"/>
  <c r="N108" i="23" l="1"/>
  <c r="N110" i="23"/>
  <c r="N111" i="23"/>
  <c r="Q92" i="18"/>
  <c r="N92" i="18"/>
  <c r="N102" i="18" s="1"/>
  <c r="J76" i="18"/>
  <c r="J92" i="18" s="1"/>
  <c r="E76" i="18"/>
  <c r="E92" i="18" s="1"/>
  <c r="U76" i="18"/>
  <c r="U92" i="18" s="1"/>
  <c r="U102" i="18" s="1"/>
  <c r="P76" i="18"/>
  <c r="T76" i="18"/>
  <c r="T92" i="18" s="1"/>
  <c r="M76" i="18"/>
  <c r="M92" i="18" s="1"/>
  <c r="H76" i="18"/>
  <c r="G76" i="18"/>
  <c r="G92" i="18" s="1"/>
  <c r="Q102" i="18"/>
  <c r="N112" i="23" l="1"/>
  <c r="P92" i="18"/>
  <c r="H92" i="18"/>
  <c r="P102" i="18"/>
  <c r="M102" i="18"/>
  <c r="T102" i="18"/>
  <c r="O76" i="18"/>
  <c r="I76" i="18"/>
  <c r="I92" i="18" s="1"/>
  <c r="R76" i="18"/>
  <c r="R92" i="18" s="1"/>
  <c r="S76" i="18"/>
  <c r="S92" i="18" s="1"/>
  <c r="L76" i="18"/>
  <c r="L92" i="18" s="1"/>
  <c r="K76" i="18"/>
  <c r="K92" i="18" s="1"/>
  <c r="S102" i="18" l="1"/>
  <c r="L102" i="18"/>
  <c r="R102" i="18"/>
  <c r="O92" i="18"/>
  <c r="I102" i="18"/>
  <c r="O102" i="18" l="1"/>
  <c r="S5" i="8"/>
  <c r="S98" i="8" s="1"/>
  <c r="S100" i="8" s="1"/>
  <c r="P111" i="8" l="1"/>
  <c r="O109" i="8"/>
  <c r="P10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tc={A41A05F2-C45E-4961-8FA7-DD33C5814911}</author>
    <author>tc={190C6EAB-0728-4580-8C7F-CEB390E1BD16}</author>
    <author>tc={6BCD0FA9-C074-4818-8A5D-80BFCB759A5E}</author>
    <author>tc={D0F99EEA-A27A-499E-B16F-CD640EE62427}</author>
    <author>tc={AE87D4D0-5C05-4C29-A2AF-33B35EFCCB1A}</author>
    <author>tc={916EAD4E-F765-4936-B1F6-387C48119BD1}</author>
    <author>tc={3FE16F53-5843-4E85-8558-AA39297B0483}</author>
    <author>tc={CB903E1A-8514-4AE5-92F8-EEB548D61382}</author>
    <author>tc={EE626130-1AC9-4589-BC0E-12A20CE3FC4A}</author>
    <author>tc={A13269A7-3555-41FA-AF7C-5C0D4FE9193E}</author>
    <author>tc={583AE46D-7732-4D95-9E76-C1AD2ADE4D54}</author>
    <author>tc={DE47DD0B-5CC1-4D07-9520-59A1203B759B}</author>
    <author>tc={783BC128-3C94-4180-8300-60E854F99E74}</author>
    <author>tc={46CB6D18-EA07-46C9-932F-7D3EC692DFA2}</author>
  </authors>
  <commentList>
    <comment ref="O5" authorId="0" shapeId="0" xr:uid="{A41A05F2-C45E-4961-8FA7-DD33C5814911}">
      <text>
        <t xml:space="preserve">[Threaded comment]
Your version of Excel allows you to read this threaded comment; however, any edits to it will get removed if the file is opened in a newer version of Excel. Learn more: https://go.microsoft.com/fwlink/?linkid=870924
Comment:
    Mostly Lake County
</t>
      </text>
    </comment>
    <comment ref="P5" authorId="1" shapeId="0" xr:uid="{190C6EAB-0728-4580-8C7F-CEB390E1BD16}">
      <text>
        <t>[Threaded comment]
Your version of Excel allows you to read this threaded comment; however, any edits to it will get removed if the file is opened in a newer version of Excel. Learn more: https://go.microsoft.com/fwlink/?linkid=870924
Comment:
    Mostly Lake County</t>
      </text>
    </comment>
    <comment ref="U5" authorId="2" shapeId="0" xr:uid="{6BCD0FA9-C074-4818-8A5D-80BFCB759A5E}">
      <text>
        <t>[Threaded comment]
Your version of Excel allows you to read this threaded comment; however, any edits to it will get removed if the file is opened in a newer version of Excel. Learn more: https://go.microsoft.com/fwlink/?linkid=870924
Comment:
    Lake County
Alt. Applicaation Site = Excess water … Just a low area, not a rib</t>
      </text>
    </comment>
    <comment ref="J17" authorId="3" shapeId="0" xr:uid="{D0F99EEA-A27A-499E-B16F-CD640EE62427}">
      <text>
        <t>[Threaded comment]
Your version of Excel allows you to read this threaded comment; however, any edits to it will get removed if the file is opened in a newer version of Excel. Learn more: https://go.microsoft.com/fwlink/?linkid=870924
Comment:
    10.355 from Conserve II (Orlando)
15.313 from OCUD South</t>
      </text>
    </comment>
    <comment ref="M17" authorId="4" shapeId="0" xr:uid="{AE87D4D0-5C05-4C29-A2AF-33B35EFCCB1A}">
      <text>
        <t>[Threaded comment]
Your version of Excel allows you to read this threaded comment; however, any edits to it will get removed if the file is opened in a newer version of Excel. Learn more: https://go.microsoft.com/fwlink/?linkid=870924
Comment:
    All of this goes to Orange County.
OPAA (not residential)
Winter Garden &amp; Ocoee
Orange Co. RW distribution OCUD South
Mostly indoor outdoor nurseries
also a hay field and some
Landfills (irrigation &amp; dust control)</t>
      </text>
    </comment>
    <comment ref="N17" authorId="5" shapeId="0" xr:uid="{916EAD4E-F765-4936-B1F6-387C48119BD1}">
      <text>
        <t>[Threaded comment]
Your version of Excel allows you to read this threaded comment; however, any edits to it will get removed if the file is opened in a newer version of Excel. Learn more: https://go.microsoft.com/fwlink/?linkid=870924
Comment:
    All in Orange</t>
      </text>
    </comment>
    <comment ref="K19" authorId="6" shapeId="0" xr:uid="{3FE16F53-5843-4E85-8558-AA39297B0483}">
      <text>
        <t>[Threaded comment]
Your version of Excel allows you to read this threaded comment; however, any edits to it will get removed if the file is opened in a newer version of Excel. Learn more: https://go.microsoft.com/fwlink/?linkid=870924
Comment:
    To Conserv II Distribution Center</t>
      </text>
    </comment>
    <comment ref="K28" authorId="7" shapeId="0" xr:uid="{CB903E1A-8514-4AE5-92F8-EEB548D61382}">
      <text>
        <t xml:space="preserve">[Threaded comment]
Your version of Excel allows you to read this threaded comment; however, any edits to it will get removed if the file is opened in a newer version of Excel. Learn more: https://go.microsoft.com/fwlink/?linkid=870924
Comment:
    To Conserv II D.C.
</t>
      </text>
    </comment>
    <comment ref="O28" authorId="8" shapeId="0" xr:uid="{EE626130-1AC9-4589-BC0E-12A20CE3FC4A}">
      <text>
        <t xml:space="preserve">[Threaded comment]
Your version of Excel allows you to read this threaded comment; however, any edits to it will get removed if the file is opened in a newer version of Excel. Learn more: https://go.microsoft.com/fwlink/?linkid=870924
Comment:
    Robin said the 15 mgd sent to DC II should not get counted on her RIR. She said subtract it from Edible Crops (13.32)  &amp; RIBs (2.327).
</t>
      </text>
    </comment>
    <comment ref="Q28" authorId="9" shapeId="0" xr:uid="{A13269A7-3555-41FA-AF7C-5C0D4FE9193E}">
      <text>
        <t>[Threaded comment]
Your version of Excel allows you to read this threaded comment; however, any edits to it will get removed if the file is opened in a newer version of Excel. Learn more: https://go.microsoft.com/fwlink/?linkid=870924
Comment:
    Robin said the 15 mgd sent to DC II should not get counted on her RIR. She said subtract it from Edible Crops (13.32)  &amp; RIBs (2.327).</t>
      </text>
    </comment>
    <comment ref="G31" authorId="10" shapeId="0" xr:uid="{583AE46D-7732-4D95-9E76-C1AD2ADE4D54}">
      <text>
        <t xml:space="preserve">[Threaded comment]
Your version of Excel allows you to read this threaded comment; however, any edits to it will get removed if the file is opened in a newer version of Excel. Learn more: https://go.microsoft.com/fwlink/?linkid=870924
Comment:
    Includes 1.264 from TWA Poinciana Reuse System
</t>
      </text>
    </comment>
    <comment ref="J31" authorId="11" shapeId="0" xr:uid="{DE47DD0B-5CC1-4D07-9520-59A1203B759B}">
      <text>
        <t xml:space="preserve">[Threaded comment]
Your version of Excel allows you to read this threaded comment; however, any edits to it will get removed if the file is opened in a newer version of Excel. Learn more: https://go.microsoft.com/fwlink/?linkid=870924
Comment:
    Includes transfer from Walnut aka Poinciana 1.264
Reply:
    And 3.528 from Camelot
</t>
      </text>
    </comment>
    <comment ref="K36" authorId="12" shapeId="0" xr:uid="{783BC128-3C94-4180-8300-60E854F99E74}">
      <text>
        <t>[Threaded comment]
Your version of Excel allows you to read this threaded comment; however, any edits to it will get removed if the file is opened in a newer version of Excel. Learn more: https://go.microsoft.com/fwlink/?linkid=870924
Comment:
    To Bermuda</t>
      </text>
    </comment>
    <comment ref="K39" authorId="13" shapeId="0" xr:uid="{46CB6D18-EA07-46C9-932F-7D3EC692DFA2}">
      <text>
        <t>[Threaded comment]
Your version of Excel allows you to read this threaded comment; however, any edits to it will get removed if the file is opened in a newer version of Excel. Learn more: https://go.microsoft.com/fwlink/?linkid=870924
Comment:
    This goes to TWA - So. Bermuda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tc={C7218E4D-B6F0-4512-A5DA-406DC2CA5836}</author>
    <author>tc={C66F9C74-1266-43E2-BC81-118202FAE093}</author>
    <author>tc={9455FF3B-8376-46BB-BD88-0FAC680CC341}</author>
    <author>tc={1DA52EB2-7BEA-4E93-BE06-3A3D63B601BA}</author>
    <author>tc={B3A02CE0-8281-46E6-8DD5-24B599A55AB8}</author>
    <author>tc={47219151-B404-4AC1-AB06-A393BF199F30}</author>
    <author>tc={81D71C0B-269B-432C-9B03-672917AC61F4}</author>
    <author>tc={33EE749F-F5C3-416E-87CD-D4EF2F25C7BD}</author>
    <author>tc={326199AF-F11F-4FC2-8456-A6BC37F25D4E}</author>
    <author>tc={5C291326-F473-422C-98AD-C0591E8E4F09}</author>
    <author>tc={BE741FDC-0BBA-42C9-8EFB-6F666C4EBE85}</author>
    <author>tc={E052752B-352F-4991-A902-1DAE3F51EE80}</author>
  </authors>
  <commentList>
    <comment ref="T6" authorId="0" shapeId="0" xr:uid="{C7218E4D-B6F0-4512-A5DA-406DC2CA5836}">
      <text>
        <t xml:space="preserve">[Threaded comment]
Your version of Excel allows you to read this threaded comment; however, any edits to it will get removed if the file is opened in a newer version of Excel. Learn more: https://go.microsoft.com/fwlink/?linkid=870924
Comment:
    Alternative Application Site </t>
      </text>
    </comment>
    <comment ref="I16" authorId="1" shapeId="0" xr:uid="{C66F9C74-1266-43E2-BC81-118202FAE093}">
      <text>
        <t>[Threaded comment]
Your version of Excel allows you to read this threaded comment; however, any edits to it will get removed if the file is opened in a newer version of Excel. Learn more: https://go.microsoft.com/fwlink/?linkid=870924
Comment:
    10.355 from Conserve II (Orlando)
15.313 from OCUD South</t>
      </text>
    </comment>
    <comment ref="L16" authorId="2" shapeId="0" xr:uid="{9455FF3B-8376-46BB-BD88-0FAC680CC341}">
      <text>
        <t>[Threaded comment]
Your version of Excel allows you to read this threaded comment; however, any edits to it will get removed if the file is opened in a newer version of Excel. Learn more: https://go.microsoft.com/fwlink/?linkid=870924
Comment:
    OPAA (Winter Garden &amp; Ocoee
Orange Co. RW distribution OCUD South) represents indoor outdoor nurseries, hay field, and landfill for irrigation and dust control</t>
      </text>
    </comment>
    <comment ref="J17" authorId="3" shapeId="0" xr:uid="{1DA52EB2-7BEA-4E93-BE06-3A3D63B601BA}">
      <text>
        <t>[Threaded comment]
Your version of Excel allows you to read this threaded comment; however, any edits to it will get removed if the file is opened in a newer version of Excel. Learn more: https://go.microsoft.com/fwlink/?linkid=870924
Comment:
    To Conserv II Distribution Center</t>
      </text>
    </comment>
    <comment ref="J18" authorId="4" shapeId="0" xr:uid="{B3A02CE0-8281-46E6-8DD5-24B599A55AB8}">
      <text>
        <t xml:space="preserve">[Threaded comment]
Your version of Excel allows you to read this threaded comment; however, any edits to it will get removed if the file is opened in a newer version of Excel. Learn more: https://go.microsoft.com/fwlink/?linkid=870924
Comment:
    To Conserv II D.C.
</t>
      </text>
    </comment>
    <comment ref="N18" authorId="5" shapeId="0" xr:uid="{47219151-B404-4AC1-AB06-A393BF199F30}">
      <text>
        <t xml:space="preserve">[Threaded comment]
Your version of Excel allows you to read this threaded comment; however, any edits to it will get removed if the file is opened in a newer version of Excel. Learn more: https://go.microsoft.com/fwlink/?linkid=870924
Comment:
    Edible Crops (13.32)  &amp; RIBs (2.327) subtracted - sent to DC II.
</t>
      </text>
    </comment>
    <comment ref="P18" authorId="6" shapeId="0" xr:uid="{81D71C0B-269B-432C-9B03-672917AC61F4}">
      <text>
        <t xml:space="preserve">[Threaded comment]
Your version of Excel allows you to read this threaded comment; however, any edits to it will get removed if the file is opened in a newer version of Excel. Learn more: https://go.microsoft.com/fwlink/?linkid=870924
Comment:
    Edible Crops (13.32)  &amp; RIBs (2.327) subtracted - sent to DC II.
</t>
      </text>
    </comment>
    <comment ref="L19" authorId="7" shapeId="0" xr:uid="{33EE749F-F5C3-416E-87CD-D4EF2F25C7BD}">
      <text>
        <t>[Threaded comment]
Your version of Excel allows you to read this threaded comment; however, any edits to it will get removed if the file is opened in a newer version of Excel. Learn more: https://go.microsoft.com/fwlink/?linkid=870924
Comment:
    Per Charles Thomson at the City of  Orlando - 6.84 mgd goes to Orange/Seminole ERRDS for Residential Irrigation.</t>
      </text>
    </comment>
    <comment ref="R30" authorId="8" shapeId="0" xr:uid="{326199AF-F11F-4FC2-8456-A6BC37F25D4E}">
      <text>
        <t>[Threaded comment]
Your version of Excel allows you to read this threaded comment; however, any edits to it will get removed if the file is opened in a newer version of Excel. Learn more: https://go.microsoft.com/fwlink/?linkid=870924
Comment:
    To Stanton Energy</t>
      </text>
    </comment>
    <comment ref="I35" authorId="9" shapeId="0" xr:uid="{5C291326-F473-422C-98AD-C0591E8E4F09}">
      <text>
        <t>[Threaded comment]
Your version of Excel allows you to read this threaded comment; however, any edits to it will get removed if the file is opened in a newer version of Excel. Learn more: https://go.microsoft.com/fwlink/?linkid=870924
Comment:
    Includes transfer from Walnut (Poinciana) of 1.264 and 3.528 from Camelot</t>
      </text>
    </comment>
    <comment ref="J36" authorId="10" shapeId="0" xr:uid="{BE741FDC-0BBA-42C9-8EFB-6F666C4EBE85}">
      <text>
        <t>[Threaded comment]
Your version of Excel allows you to read this threaded comment; however, any edits to it will get removed if the file is opened in a newer version of Excel. Learn more: https://go.microsoft.com/fwlink/?linkid=870924
Comment:
    To Bermuda</t>
      </text>
    </comment>
    <comment ref="J41" authorId="11" shapeId="0" xr:uid="{E052752B-352F-4991-A902-1DAE3F51EE80}">
      <text>
        <t>[Threaded comment]
Your version of Excel allows you to read this threaded comment; however, any edits to it will get removed if the file is opened in a newer version of Excel. Learn more: https://go.microsoft.com/fwlink/?linkid=870924
Comment:
    To TWA - So. Bermuda &amp; Camelot system (to the overflow RIBs).</t>
      </text>
    </comment>
  </commentList>
</comments>
</file>

<file path=xl/sharedStrings.xml><?xml version="1.0" encoding="utf-8"?>
<sst xmlns="http://schemas.openxmlformats.org/spreadsheetml/2006/main" count="1499" uniqueCount="544">
  <si>
    <t>FACILITY_N</t>
  </si>
  <si>
    <t>COUNTY_NAM</t>
  </si>
  <si>
    <t>Orange</t>
  </si>
  <si>
    <t>Osceola</t>
  </si>
  <si>
    <t>Polk</t>
  </si>
  <si>
    <t>Seminole</t>
  </si>
  <si>
    <t>FL0036862</t>
  </si>
  <si>
    <t>FLA109843</t>
  </si>
  <si>
    <t>FLA010979</t>
  </si>
  <si>
    <t>FLA110434</t>
  </si>
  <si>
    <t>FLA010958</t>
  </si>
  <si>
    <t>FL0038849</t>
  </si>
  <si>
    <t>FL0037966</t>
  </si>
  <si>
    <t>FLA267872</t>
  </si>
  <si>
    <t>FLA010957</t>
  </si>
  <si>
    <t>FLA010814</t>
  </si>
  <si>
    <t>FL0040029</t>
  </si>
  <si>
    <t>Avon Park Correctional Institute</t>
  </si>
  <si>
    <t>FLA010960</t>
  </si>
  <si>
    <t>FLA107972</t>
  </si>
  <si>
    <t>FLA010798</t>
  </si>
  <si>
    <t>FLA010962</t>
  </si>
  <si>
    <t>FLA010816</t>
  </si>
  <si>
    <t>FLA108219</t>
  </si>
  <si>
    <t>FLA010983</t>
  </si>
  <si>
    <t>Orlando</t>
  </si>
  <si>
    <t>UTILITY</t>
  </si>
  <si>
    <t>TWA</t>
  </si>
  <si>
    <t>OCUD</t>
  </si>
  <si>
    <t>Orlando &amp; OCUD</t>
  </si>
  <si>
    <t>RCID</t>
  </si>
  <si>
    <t>SFWMD</t>
  </si>
  <si>
    <t>Gold Coast</t>
  </si>
  <si>
    <t>DOC</t>
  </si>
  <si>
    <t>Orlando - Water Conserv I WRF</t>
  </si>
  <si>
    <t>OCUD - Eastern WRF</t>
  </si>
  <si>
    <t>OCUD - Northwest WRF</t>
  </si>
  <si>
    <t>Reedy Creek Improvement District WRF</t>
  </si>
  <si>
    <t>TWA - Walnut Drive WRF</t>
  </si>
  <si>
    <t>TWA - South Bermuda WRF</t>
  </si>
  <si>
    <t>TWA - Sandhill Road WRF</t>
  </si>
  <si>
    <t>TWA - Parkway WWTF</t>
  </si>
  <si>
    <t>TWA - Camelot WRF</t>
  </si>
  <si>
    <t>TWA - Cypress West WRF</t>
  </si>
  <si>
    <t>TWA - Harmony WRF</t>
  </si>
  <si>
    <t>TWA - Lake Marion WRF</t>
  </si>
  <si>
    <t>SJRWMD</t>
  </si>
  <si>
    <t>FLA010513</t>
  </si>
  <si>
    <t>Groveland/Sampey Rd. - WWTF</t>
  </si>
  <si>
    <t>Groveland, City of</t>
  </si>
  <si>
    <t>Lake</t>
  </si>
  <si>
    <t>FLA010515</t>
  </si>
  <si>
    <t>Clermont, City of - East - WWTF</t>
  </si>
  <si>
    <t>Clermont, City of</t>
  </si>
  <si>
    <t>FLA010538</t>
  </si>
  <si>
    <t>Clerbrook RV &amp; Golf Resort</t>
  </si>
  <si>
    <t>FLA010630</t>
  </si>
  <si>
    <t>Lake Groves WWTF</t>
  </si>
  <si>
    <t>Lake Groves</t>
  </si>
  <si>
    <t>FLA010634</t>
  </si>
  <si>
    <t>Southlake Utilities</t>
  </si>
  <si>
    <t>FLA010656</t>
  </si>
  <si>
    <t>FLA297631</t>
  </si>
  <si>
    <t>Pine Island</t>
  </si>
  <si>
    <t>FLA356344</t>
  </si>
  <si>
    <t>Minneola, City Of WWTF</t>
  </si>
  <si>
    <t>Minneola, City of</t>
  </si>
  <si>
    <t>FL0020109</t>
  </si>
  <si>
    <t>Winter Garden, City of - WWTF</t>
  </si>
  <si>
    <t>Winter Garden, City of</t>
  </si>
  <si>
    <t>FLA010815</t>
  </si>
  <si>
    <t>Ocoee, City of - WWTF</t>
  </si>
  <si>
    <t>Ocoee, City of</t>
  </si>
  <si>
    <t>FLA010818</t>
  </si>
  <si>
    <t>Apopka WRF - Project Arrow</t>
  </si>
  <si>
    <t>Apopka, City of</t>
  </si>
  <si>
    <t>FLA010819</t>
  </si>
  <si>
    <t>Winter Park Estates WWTF</t>
  </si>
  <si>
    <t>FLA010823</t>
  </si>
  <si>
    <t>Fairways Country Club WWTF</t>
  </si>
  <si>
    <t>Fairways Country Club</t>
  </si>
  <si>
    <t>FLA010835</t>
  </si>
  <si>
    <t>Gulfstream Harbor WWTF</t>
  </si>
  <si>
    <t>Gulfstream Harbor</t>
  </si>
  <si>
    <t>FLA010871</t>
  </si>
  <si>
    <t>Rock Springs MHP WWTF</t>
  </si>
  <si>
    <t>Rock Springs MHP</t>
  </si>
  <si>
    <t>FLA010900</t>
  </si>
  <si>
    <t>Wedgefield WWTF</t>
  </si>
  <si>
    <t>Wedgefield</t>
  </si>
  <si>
    <t>FL0020141</t>
  </si>
  <si>
    <t>Sanford, City of</t>
  </si>
  <si>
    <t>FL0033251</t>
  </si>
  <si>
    <t>Altamonte Springs Regional WRF</t>
  </si>
  <si>
    <t>Altamonte Springs, City of</t>
  </si>
  <si>
    <t>FL0036251</t>
  </si>
  <si>
    <t>Wekiva Hunt Club WWTP</t>
  </si>
  <si>
    <t>FLA011066</t>
  </si>
  <si>
    <t>Casselberry, City of - WWTF</t>
  </si>
  <si>
    <t>Casselberry, City of</t>
  </si>
  <si>
    <t>FLA011067</t>
  </si>
  <si>
    <t>Winter Springs, City of - West WWTF</t>
  </si>
  <si>
    <t>Winter Springs, City of</t>
  </si>
  <si>
    <t>FLA011068</t>
  </si>
  <si>
    <t>Winter Springs, City of - East WWTF</t>
  </si>
  <si>
    <t>FLA011074</t>
  </si>
  <si>
    <t>Oviedo WRF</t>
  </si>
  <si>
    <t>Oviedo, City of</t>
  </si>
  <si>
    <t>FLA011076</t>
  </si>
  <si>
    <t>FGUA/Chuluota  WWTF</t>
  </si>
  <si>
    <t>FGUA/Chuluota</t>
  </si>
  <si>
    <t>FLA011085</t>
  </si>
  <si>
    <t>Palm Valley MHP WWTF</t>
  </si>
  <si>
    <t>Palm Valley MHP</t>
  </si>
  <si>
    <t>FLA011086</t>
  </si>
  <si>
    <t>Seminole County - Greenwood Lakes WRF</t>
  </si>
  <si>
    <t>Seminole County</t>
  </si>
  <si>
    <t>FLA011105</t>
  </si>
  <si>
    <t>Longwood/Shadow Hills</t>
  </si>
  <si>
    <t>FLA042625</t>
  </si>
  <si>
    <t>FL0020338</t>
  </si>
  <si>
    <t>Mulberry, City of</t>
  </si>
  <si>
    <t>Mulberry</t>
  </si>
  <si>
    <t>SWFWMD</t>
  </si>
  <si>
    <t>FL0021466</t>
  </si>
  <si>
    <t>Auburndale</t>
  </si>
  <si>
    <t>FL0036048</t>
  </si>
  <si>
    <t>Winter Haven, City of - WWTP#3</t>
  </si>
  <si>
    <t>FL0039772</t>
  </si>
  <si>
    <t>Lakeland, City of - Glendale WRF</t>
  </si>
  <si>
    <t>Lakeland</t>
  </si>
  <si>
    <t>FLA011047</t>
  </si>
  <si>
    <t>Outdoor Resorts At Orlando WWTF</t>
  </si>
  <si>
    <t>Outdoor Resorts</t>
  </si>
  <si>
    <t>FLA012949</t>
  </si>
  <si>
    <t>Polk County</t>
  </si>
  <si>
    <t>FLA012954</t>
  </si>
  <si>
    <t>Polk County - Southwest Regional WWTF</t>
  </si>
  <si>
    <t>Polk County - Northeast Regional WWTF</t>
  </si>
  <si>
    <t>FLA012968</t>
  </si>
  <si>
    <t>Polk County - Waverly WWTF</t>
  </si>
  <si>
    <t>FLA012975</t>
  </si>
  <si>
    <t>Lake Alfred, City of</t>
  </si>
  <si>
    <t>Lake Alfred</t>
  </si>
  <si>
    <t>FLA012976</t>
  </si>
  <si>
    <t>Bartow City of WRF</t>
  </si>
  <si>
    <t>Bartow</t>
  </si>
  <si>
    <t>FLA012977</t>
  </si>
  <si>
    <t>Haines City, City of</t>
  </si>
  <si>
    <t>Haines City</t>
  </si>
  <si>
    <t>FLA012983</t>
  </si>
  <si>
    <t>Frostproof City of WWTF</t>
  </si>
  <si>
    <t>Frostproof</t>
  </si>
  <si>
    <t>FLA012985</t>
  </si>
  <si>
    <t>Lakeland, City of - Northside WWTF</t>
  </si>
  <si>
    <t>FLA013016</t>
  </si>
  <si>
    <t>Grenelefe Resort Center</t>
  </si>
  <si>
    <t>Westgate Resorts</t>
  </si>
  <si>
    <t>FLA013082</t>
  </si>
  <si>
    <t>Sweetwater Golf &amp; Tennis Club</t>
  </si>
  <si>
    <t>Sweetwater G&amp;TC</t>
  </si>
  <si>
    <t>FLA013093</t>
  </si>
  <si>
    <t>Carefree RV Country Club</t>
  </si>
  <si>
    <t>Carefree Crounty Club</t>
  </si>
  <si>
    <t>FLA013102</t>
  </si>
  <si>
    <t>Swiss Village MHP</t>
  </si>
  <si>
    <t>Swiss Village</t>
  </si>
  <si>
    <t>FLA013103</t>
  </si>
  <si>
    <t>Swiss Golf Club</t>
  </si>
  <si>
    <t>Swiss GC</t>
  </si>
  <si>
    <t>FLA013123</t>
  </si>
  <si>
    <t>Cypress Lakes WWTF</t>
  </si>
  <si>
    <t>Utilities, Inc</t>
  </si>
  <si>
    <t>FLA013360</t>
  </si>
  <si>
    <t>Polk Correctional Institution</t>
  </si>
  <si>
    <t>FLA016529</t>
  </si>
  <si>
    <t>Fort Meade, City of</t>
  </si>
  <si>
    <t>Fort Meade</t>
  </si>
  <si>
    <t>FLA016559</t>
  </si>
  <si>
    <t>FLA129747</t>
  </si>
  <si>
    <t>Winter Haven, City of - WWTP #2</t>
  </si>
  <si>
    <t>Winter Haven</t>
  </si>
  <si>
    <t>FLA129844</t>
  </si>
  <si>
    <t>Lake Wales, City of</t>
  </si>
  <si>
    <t>Lake Wales</t>
  </si>
  <si>
    <t>FLA178667</t>
  </si>
  <si>
    <t>Polk County - Northwest Regional WWTF</t>
  </si>
  <si>
    <t>FLA180416</t>
  </si>
  <si>
    <t>Dundee, Town of WWTF</t>
  </si>
  <si>
    <t>Dundee</t>
  </si>
  <si>
    <t>FLA377392</t>
  </si>
  <si>
    <t>Davenport, City of - WWTF</t>
  </si>
  <si>
    <t>Davenport</t>
  </si>
  <si>
    <t>FLA489093</t>
  </si>
  <si>
    <t>Cardinal Hill (Polk City) WWTF</t>
  </si>
  <si>
    <t>Polk City</t>
  </si>
  <si>
    <t>FLA760838</t>
  </si>
  <si>
    <t>Streamsong</t>
  </si>
  <si>
    <t>Mosaic Streamsong</t>
  </si>
  <si>
    <t>NA</t>
  </si>
  <si>
    <t>Polk County Sun Ray WWTF</t>
  </si>
  <si>
    <t>City of Winter Park</t>
  </si>
  <si>
    <t>FLA181714</t>
  </si>
  <si>
    <t>Sanford - South WRF #2</t>
  </si>
  <si>
    <t>Comments/Notes</t>
  </si>
  <si>
    <t>Provides reclaimed. Grandfathered into reclaimed production.</t>
  </si>
  <si>
    <t>Gold Coast Utility WWTF</t>
  </si>
  <si>
    <t>Groveland - Sunshine Parkway WWTF</t>
  </si>
  <si>
    <t>Longwood/Shadow Hills WWTF</t>
  </si>
  <si>
    <t>Orlando - Iron Bridge Regional WRF</t>
  </si>
  <si>
    <t>2010 Reuse</t>
  </si>
  <si>
    <t>Golf Courses</t>
  </si>
  <si>
    <t>Sprayfields</t>
  </si>
  <si>
    <t>Industrial</t>
  </si>
  <si>
    <t>Wetlands</t>
  </si>
  <si>
    <t>Other Reuse</t>
  </si>
  <si>
    <t>Lake (CFWI) - SJRWMD</t>
  </si>
  <si>
    <t>Orange - SJRWMD</t>
  </si>
  <si>
    <t>Orange - SFWMD</t>
  </si>
  <si>
    <t>Osceola - SFWMD</t>
  </si>
  <si>
    <t>Polk - SWFWMD</t>
  </si>
  <si>
    <t>Polk - SFWMD</t>
  </si>
  <si>
    <t>Facility Name</t>
  </si>
  <si>
    <t>2020 PERMITTED CAPACITY (MGD)</t>
  </si>
  <si>
    <t>2020 Total WW Flows</t>
  </si>
  <si>
    <t>2020 Reuse CFWI</t>
  </si>
  <si>
    <t>2020 Supplemental Flows</t>
  </si>
  <si>
    <t>2020 WW Disposal</t>
  </si>
  <si>
    <t>2020 Res Irrig/ Landscape</t>
  </si>
  <si>
    <t>2020 Golf Courses</t>
  </si>
  <si>
    <t>2020 Ag Irrig</t>
  </si>
  <si>
    <t>2020 Sprayfields</t>
  </si>
  <si>
    <t>2020 Recharge/ RIBS</t>
  </si>
  <si>
    <t>2020 IPR</t>
  </si>
  <si>
    <t>2020 Industrial</t>
  </si>
  <si>
    <t>2020 Wetlands</t>
  </si>
  <si>
    <t>2020 Other Reuse</t>
  </si>
  <si>
    <t>Auburndale, City of - Allred WWTF (South)</t>
  </si>
  <si>
    <t>Auburndale Regional WWTF (North)</t>
  </si>
  <si>
    <t>Auburndale Systems interconnected</t>
  </si>
  <si>
    <t>FL0A00002</t>
  </si>
  <si>
    <t>All WW used onsite by Lakeland power and at TECO facilities</t>
  </si>
  <si>
    <t>To TECO</t>
  </si>
  <si>
    <t>0.18 mgd to ASR storage in OTHER</t>
  </si>
  <si>
    <t xml:space="preserve">IND to TECO </t>
  </si>
  <si>
    <t>2020 Transfers In</t>
  </si>
  <si>
    <t>2020 Transfer Out</t>
  </si>
  <si>
    <t>Seminole County - Yankee Lake-NW WWTF</t>
  </si>
  <si>
    <t>Sanford- North WWTF</t>
  </si>
  <si>
    <t>Lakeland 4.81 mgd disposal contains prior reuse quantities</t>
  </si>
  <si>
    <t>Change</t>
  </si>
  <si>
    <t>2015 Reuse</t>
  </si>
  <si>
    <t>Trans In</t>
  </si>
  <si>
    <t>OK</t>
  </si>
  <si>
    <t>Trans Out</t>
  </si>
  <si>
    <t>Supp</t>
  </si>
  <si>
    <t>Disposal</t>
  </si>
  <si>
    <t>Auburndale Systems interconnected, portions reused twice</t>
  </si>
  <si>
    <t>WWTP</t>
  </si>
  <si>
    <t>Reuse</t>
  </si>
  <si>
    <t>178 mgd</t>
  </si>
  <si>
    <t>212 mgd</t>
  </si>
  <si>
    <t>OPAA</t>
  </si>
  <si>
    <t>GC</t>
  </si>
  <si>
    <t>AG</t>
  </si>
  <si>
    <t>Spray</t>
  </si>
  <si>
    <t>RIB</t>
  </si>
  <si>
    <t>Potable  Reuse</t>
  </si>
  <si>
    <t>Other</t>
  </si>
  <si>
    <t>Need Report</t>
  </si>
  <si>
    <t>FACILITY_ID</t>
  </si>
  <si>
    <t>CFWI Totals for 2020</t>
  </si>
  <si>
    <t>Data Check</t>
  </si>
  <si>
    <t>209.47 WW + 8.43 Supp= 217.9 - 208.18 Reuse = 9.72 - 11.58 Disp = 1.86 Diff OK as Lakeland has RW that is both Reused and Disposed</t>
  </si>
  <si>
    <t>OK, as Some reused and disposed too</t>
  </si>
  <si>
    <t>Sup Increased</t>
  </si>
  <si>
    <t>2015-2020</t>
  </si>
  <si>
    <t>+85%</t>
  </si>
  <si>
    <t>Disposal Decreased</t>
  </si>
  <si>
    <t>-35%</t>
  </si>
  <si>
    <t>+57%</t>
  </si>
  <si>
    <t>OPAA Increased</t>
  </si>
  <si>
    <t>-27%</t>
  </si>
  <si>
    <t>Golf Decreased</t>
  </si>
  <si>
    <t>AG Decreased</t>
  </si>
  <si>
    <t>-84%</t>
  </si>
  <si>
    <t>5-year CFWI Reuse Trends</t>
  </si>
  <si>
    <t>Sprayfield Increased</t>
  </si>
  <si>
    <t>+60%</t>
  </si>
  <si>
    <t>RIB Decreased</t>
  </si>
  <si>
    <t>-25%</t>
  </si>
  <si>
    <t>Potable Reuse No Change</t>
  </si>
  <si>
    <t>IND Decreased</t>
  </si>
  <si>
    <t>-9%</t>
  </si>
  <si>
    <t>Wetlands Decreased</t>
  </si>
  <si>
    <t>-53%</t>
  </si>
  <si>
    <t>Other Decreased</t>
  </si>
  <si>
    <t>-56%</t>
  </si>
  <si>
    <t>mgd</t>
  </si>
  <si>
    <t>CFWI Total Lake County</t>
  </si>
  <si>
    <t>CFWI Total Orange County</t>
  </si>
  <si>
    <t xml:space="preserve">CFWI Total Osceola </t>
  </si>
  <si>
    <t>CFWI Total Polk County</t>
  </si>
  <si>
    <t>CFWI Total Seminole County</t>
  </si>
  <si>
    <t>District</t>
  </si>
  <si>
    <t>FLA010974</t>
  </si>
  <si>
    <t>Cocoa</t>
  </si>
  <si>
    <t>CFWI Total Brevard County</t>
  </si>
  <si>
    <t>FL0020541</t>
  </si>
  <si>
    <t>FL0021105</t>
  </si>
  <si>
    <t>Cocoa  Beach WWTP</t>
  </si>
  <si>
    <t>Cocoa-Cape Canaveral WRF</t>
  </si>
  <si>
    <t>Brevard</t>
  </si>
  <si>
    <t>Benefits within the CFWI</t>
  </si>
  <si>
    <t>Included Above</t>
  </si>
  <si>
    <t>Good Samaritan</t>
  </si>
  <si>
    <t>Included Below</t>
  </si>
  <si>
    <t>flows combined with TWA South Burmuda</t>
  </si>
  <si>
    <t>Benefits within the CFWI, flows sent to Cocoa Beach</t>
  </si>
  <si>
    <t>Benefits within the CFWI, includes flows from Cape Canaveral</t>
  </si>
  <si>
    <t>includes flows from OCUD NW &amp; Conserv II</t>
  </si>
  <si>
    <t>some flows sent to Ocoee</t>
  </si>
  <si>
    <t>includes flows transferred to Sanford North</t>
  </si>
  <si>
    <t>Includes flows received from Sanford South</t>
  </si>
  <si>
    <t>Flat</t>
  </si>
  <si>
    <t>Inlcludes flows in from Iron Bridge</t>
  </si>
  <si>
    <t>includes sflows out to Oviedo, and small in from Winter Park Estates</t>
  </si>
  <si>
    <t>Used 2021 Data. They never replied to request for 2020 data.</t>
  </si>
  <si>
    <t>GW Supp. Flow</t>
  </si>
  <si>
    <t>DW Supp. Flow</t>
  </si>
  <si>
    <t>-</t>
  </si>
  <si>
    <t>TWA - Poinciana Reuse System</t>
  </si>
  <si>
    <t>From Amber email 2/8/2023 2:41 PM :Poinciana Reuse Service Area feeds from 3 plants (Cypress West, Walnut and Lake Marion WRFs) into a combined reuse distribution system. Walnut included; does not have a separate report</t>
  </si>
  <si>
    <t>includes flows from TWA Camelot and TWA Poinciana Reuse System</t>
  </si>
  <si>
    <t>This is now a TWA facility</t>
  </si>
  <si>
    <t>TWA (formerly St. Cloud)</t>
  </si>
  <si>
    <t>"Other" = Filling stations &amp; street washdown</t>
  </si>
  <si>
    <t>Transfer to Conserv II D.C.</t>
  </si>
  <si>
    <t>Woodard &amp; Curran</t>
  </si>
  <si>
    <t>FLA010795</t>
  </si>
  <si>
    <t>GW Supp. Flow. "Other" = "Alternate Application Sites"</t>
  </si>
  <si>
    <t>Not a Reuse facility. Flow data from FDEP Appendix Excel for 2020.</t>
  </si>
  <si>
    <t>TWA - St Cloud - Southside (TWA as of 2023)</t>
  </si>
  <si>
    <t>TWA - Poinciana Reuse System - Osceola</t>
  </si>
  <si>
    <t>TWA - Poinciana Reuse System - Polk</t>
  </si>
  <si>
    <t>Orlando - Conserv II / McLeod Road</t>
  </si>
  <si>
    <t>80.9 - But no Treatment happens here.</t>
  </si>
  <si>
    <t xml:space="preserve">Conserv II Distribution Center - Orange </t>
  </si>
  <si>
    <t xml:space="preserve">Conserv II Distribution Center - Lake </t>
  </si>
  <si>
    <t>Included w/ TWA -Poinciana</t>
  </si>
  <si>
    <t>Included w/ So. Bermuda</t>
  </si>
  <si>
    <t>FLA010796</t>
  </si>
  <si>
    <t xml:space="preserve">OCUD - South WRF </t>
  </si>
  <si>
    <t xml:space="preserve">Anthony Note: some flow to Ocoee. Spoke to Robin U at OUCD Robin said the 15 mgd sent to DC II should not get counted on her RIR. She said subtract it from Edible Crops &amp; RIBs. </t>
  </si>
  <si>
    <t>Conserv II Distribution Center - Lake Co.</t>
  </si>
  <si>
    <t>Conserv II Distribution Center - Orange Co.</t>
  </si>
  <si>
    <t>This is now a TWA facility.</t>
  </si>
  <si>
    <t>Facility ID</t>
  </si>
  <si>
    <t xml:space="preserve">Utility </t>
  </si>
  <si>
    <t>County / District</t>
  </si>
  <si>
    <t xml:space="preserve">SFWMD Orange County Total </t>
  </si>
  <si>
    <t xml:space="preserve">SJRWMD Orange County Total </t>
  </si>
  <si>
    <t xml:space="preserve">SFWMD Osceola County Total </t>
  </si>
  <si>
    <t xml:space="preserve">SFWMD Polk County Total </t>
  </si>
  <si>
    <t xml:space="preserve">SWFWMD Polk County Total </t>
  </si>
  <si>
    <t xml:space="preserve">Seminole - SJRWMD </t>
  </si>
  <si>
    <t xml:space="preserve">SJRWMD Seminole County Total </t>
  </si>
  <si>
    <t>Permitted Capacity</t>
  </si>
  <si>
    <t>Total WW Flows</t>
  </si>
  <si>
    <t>Reuse CFWI</t>
  </si>
  <si>
    <t>Supplemental Flows</t>
  </si>
  <si>
    <t>Transfers In</t>
  </si>
  <si>
    <t>Transfers Out</t>
  </si>
  <si>
    <t>WW Disposal</t>
  </si>
  <si>
    <t>Res Irrig/ Landscape</t>
  </si>
  <si>
    <t>Ag Irrig</t>
  </si>
  <si>
    <t>Recharge/ RIBS</t>
  </si>
  <si>
    <t>IPR</t>
  </si>
  <si>
    <t xml:space="preserve">CFWI Orange County Total </t>
  </si>
  <si>
    <t xml:space="preserve">CFWI Polk County Total </t>
  </si>
  <si>
    <t xml:space="preserve">CFWI Total </t>
  </si>
  <si>
    <t>Benefits within the CFWI, includes flows from Cape Canaveral.</t>
  </si>
  <si>
    <t>Benefits within the CFWI, flows sent to Cocoa Beach.</t>
  </si>
  <si>
    <t>Other = filling stations &amp; street washdown.</t>
  </si>
  <si>
    <t>Includes flows from OCUD NW &amp; Conserv II.</t>
  </si>
  <si>
    <t>Some flows sent to Ocoee.</t>
  </si>
  <si>
    <t>Includes flows from TWA Camelot and TWA Poinciana Reuse System.</t>
  </si>
  <si>
    <t>Per Amber, TOHO email dated 2/8/2023, Poinciana Reuse Service Area feeds from 3 plants (Cypress West, Walnut, and Lake Marion WRFs) into a combined reuse distribution system. Walnut does not have a separate report and wil be decommissioned in 2024.</t>
  </si>
  <si>
    <t>Included with TWA - Poinciana.</t>
  </si>
  <si>
    <t>Auburndale systems interconnected.</t>
  </si>
  <si>
    <t>Provides reclaimed; grandfathered into reclaimed production.</t>
  </si>
  <si>
    <t>Lakeland 4.81 mgd disposal contains prior reuse quantities.</t>
  </si>
  <si>
    <t>All wastewater used onsite by Lakeland Power and at TECO facilities.</t>
  </si>
  <si>
    <t>0.18 mgd to ASR storage in Other.</t>
  </si>
  <si>
    <t>IND to TECO.</t>
  </si>
  <si>
    <t>Includes flows received from Sanford South.</t>
  </si>
  <si>
    <t>Total WW Disposal</t>
  </si>
  <si>
    <t>Beneficial Reuse</t>
  </si>
  <si>
    <t>% Beneficial Reuse</t>
  </si>
  <si>
    <t>Total Wastewater Flows including Supplementation and Imports</t>
  </si>
  <si>
    <t xml:space="preserve">Total Wastewater Flows   </t>
  </si>
  <si>
    <t xml:space="preserve">2020 CFWI Summary </t>
  </si>
  <si>
    <t>2010 CFWI Reuse = 178 mgd</t>
  </si>
  <si>
    <t>2015 CFWI Reuse = 212 mgd</t>
  </si>
  <si>
    <t>Includes flows transferred to Sanford North.</t>
  </si>
  <si>
    <t xml:space="preserve"> </t>
  </si>
  <si>
    <t xml:space="preserve">SFWMD Total </t>
  </si>
  <si>
    <t xml:space="preserve">SJRWMD Total </t>
  </si>
  <si>
    <t xml:space="preserve">SWFWMD Total </t>
  </si>
  <si>
    <t>Cocoa Beach WWTP - FL0021105</t>
  </si>
  <si>
    <t>Cocoa-Cape Canaveral WRF - FL 0020541</t>
  </si>
  <si>
    <t xml:space="preserve">SJRWMD Lake (CFWI) County Total </t>
  </si>
  <si>
    <t xml:space="preserve">Orange County Total </t>
  </si>
  <si>
    <t xml:space="preserve">Polk County Total </t>
  </si>
  <si>
    <t xml:space="preserve">SJRWMD Brevard (CFWI) County Total </t>
  </si>
  <si>
    <t>Brevard (CFWI) - SJRWMD</t>
  </si>
  <si>
    <t>Conserv II Distribution Center - Lake Co. - FLA010795</t>
  </si>
  <si>
    <t>Clerbrook RV &amp; Golf Resort - FLA010538</t>
  </si>
  <si>
    <t>Clermont, City of - East - WWTF - FLA010515</t>
  </si>
  <si>
    <t>Groveland- Sunshine Parkway WWTF - FLA010656</t>
  </si>
  <si>
    <t>Groveland/Sampey Rd. - WWTF - FLA010513</t>
  </si>
  <si>
    <t>Lake Groves WWTF - FLA010630</t>
  </si>
  <si>
    <t>Minneola, City Of WWTF - FLA356344</t>
  </si>
  <si>
    <t>Pine Island - FLA297631</t>
  </si>
  <si>
    <t>Southlake Utilities - FLA010634</t>
  </si>
  <si>
    <t>Conserv II Distribution Center - Orange Co. - FLA010795</t>
  </si>
  <si>
    <t>Orlando - Water Conserv II (McLeod Rd) - FLA010814</t>
  </si>
  <si>
    <t>OCUD - South WRF - FLA107972</t>
  </si>
  <si>
    <t>Orlando - Water Conserv I WRF - FLA010816</t>
  </si>
  <si>
    <t>Reedy Creek Improvement District WRF - FLA108219</t>
  </si>
  <si>
    <t>Apopka WRF - Project Arrow - FLA010818</t>
  </si>
  <si>
    <t>Fairways Country Club WWTF - FLA010823</t>
  </si>
  <si>
    <t>Gulfstream Harbor WWTF - FLA010835</t>
  </si>
  <si>
    <t>Ocoee, City of - WWTF - FLA010815</t>
  </si>
  <si>
    <t>Rock Springs MHP WWTF - FLA010871</t>
  </si>
  <si>
    <t>Wedgefield WWTF - FLA010900</t>
  </si>
  <si>
    <t>Winter Garden, City of - WWTF - FL0020109</t>
  </si>
  <si>
    <t>Winter Park Estates WWTF - FLA010819</t>
  </si>
  <si>
    <t>OCUD - Eastern WRF - FL0038849</t>
  </si>
  <si>
    <t>OCUD - Northwest WRF - FLA010798</t>
  </si>
  <si>
    <t>St Cloud - Southside WRF - FLA010962</t>
  </si>
  <si>
    <t>TWA - South Bermuda WRF - FLA010957</t>
  </si>
  <si>
    <t>TWA - Camelot WRF - FLA010983</t>
  </si>
  <si>
    <t>TWA - Harmony WRF - FLA267872</t>
  </si>
  <si>
    <t>TWA - Parkway WWTF - FLA010960</t>
  </si>
  <si>
    <t>TWA - Sandhill Road WRF - FLA010958</t>
  </si>
  <si>
    <t>TWA - Cypress West WRF - FLA109843</t>
  </si>
  <si>
    <t>Good Samaritan - FLA010974</t>
  </si>
  <si>
    <t>Altamonte Springs Regional WRF - FL0033251</t>
  </si>
  <si>
    <t>Casselberry, City of - WWTF - FLA011066</t>
  </si>
  <si>
    <t>FGUA/Chuluota  WWTF - FLA011076</t>
  </si>
  <si>
    <t>Longwood/Shadow Hills WWTF - FLA011105</t>
  </si>
  <si>
    <t>Orlando - Iron Bridge Regional WRF - FL0037966</t>
  </si>
  <si>
    <t>Oviedo WRF - FLA011074</t>
  </si>
  <si>
    <t>Palm Valley MHP WWTF - FLA011085</t>
  </si>
  <si>
    <t>Sanford, City of - North WWTF - FL0020141</t>
  </si>
  <si>
    <t>Sanford - South WRF #2 - FLA181714</t>
  </si>
  <si>
    <t>Seminole County - Yankee Lake WWTF - FLA042625</t>
  </si>
  <si>
    <t>Seminole County - Greenwood Lakes WRF - FLA011086</t>
  </si>
  <si>
    <t>Wekiva Hunt Club WWTP - FL0036251</t>
  </si>
  <si>
    <t>Winter Springs, City of - East WWTF - FLA011068</t>
  </si>
  <si>
    <t>Winter Springs, City of - West WWTF - FLA011067</t>
  </si>
  <si>
    <t>Avon Park Correctional Institute - FL0040029</t>
  </si>
  <si>
    <t>Gold Coast Utility WWTF (Lakeshore Club) - FLA110434</t>
  </si>
  <si>
    <t>TWA - Lake Marion WRF - FLA010979</t>
  </si>
  <si>
    <t>TWA - Walnut Drive WRF - FL0036862</t>
  </si>
  <si>
    <t>Seminole - SJRWMD</t>
  </si>
  <si>
    <t>Total Service Area Population</t>
  </si>
  <si>
    <t xml:space="preserve">Septic Population </t>
  </si>
  <si>
    <t xml:space="preserve">Adjusted Service Area Population </t>
  </si>
  <si>
    <t>Auburndale Regional WWTF -  FLA016559</t>
  </si>
  <si>
    <t>Auburndale, City of - Allred WWTF -FL0021466</t>
  </si>
  <si>
    <t>Bartow City of WRF -FLA012976</t>
  </si>
  <si>
    <t>Carefree RV Country Club - FLA013093</t>
  </si>
  <si>
    <t>Davenport, City of - WWTF - FLA377392</t>
  </si>
  <si>
    <t>Polk Correctional Institution -FLA013360</t>
  </si>
  <si>
    <t>Dundee, Town of WWTF - FLA180416</t>
  </si>
  <si>
    <t>Fort Meade, City of - FLA016529</t>
  </si>
  <si>
    <t>Frostproof City of WWTF - FLA012983</t>
  </si>
  <si>
    <t>Haines City, City of - FLA012977</t>
  </si>
  <si>
    <t>Lake Alfred, City of - FLA012975</t>
  </si>
  <si>
    <t>Lake Wales, City of - FLA129844</t>
  </si>
  <si>
    <t>Lakeland, City of - Glendale WRF - FL0039772</t>
  </si>
  <si>
    <t>Lakeland, City of - Northside WWTF - FLA012985</t>
  </si>
  <si>
    <t>Streamsong - FLA760838</t>
  </si>
  <si>
    <t>Mulberry, City of - FL0020338</t>
  </si>
  <si>
    <t>Outdoor Resorts At Orlando WWTF - FLA011047</t>
  </si>
  <si>
    <t>Cardinal Hill (Polk City) WWTF - FLA489093</t>
  </si>
  <si>
    <t>Polk County - Northeast Regional WWTF - FLA012967</t>
  </si>
  <si>
    <t>Polk County - Northwest Regional WWTF - FLA178667</t>
  </si>
  <si>
    <t>Polk County - Southwest Regional WWTF - FLA012954</t>
  </si>
  <si>
    <t>Polk County - Waverly WWTF - FLA012968</t>
  </si>
  <si>
    <t>Polk County Sun Ray WWTF - FLA012949</t>
  </si>
  <si>
    <t>Sweetwater Golf &amp; Tennis Club - FLA013082</t>
  </si>
  <si>
    <t>Swiss Golf Club - FLA013103</t>
  </si>
  <si>
    <t>Swiss Village MHP - FLA013102</t>
  </si>
  <si>
    <t>Cypress Lakes WWTF - FLA013123</t>
  </si>
  <si>
    <t>Grenelefe Resort Center - FLA013016</t>
  </si>
  <si>
    <t>Winter Haven, City of - WWTP #2 - FLA129747</t>
  </si>
  <si>
    <t>Winter Haven, City of - WWTP#3  - FL0036048</t>
  </si>
  <si>
    <t>Facility Name and ID</t>
  </si>
  <si>
    <t>N/A</t>
  </si>
  <si>
    <t>WW Flows</t>
  </si>
  <si>
    <t>2020 Totals</t>
  </si>
  <si>
    <t>2045 Projected Totals</t>
  </si>
  <si>
    <t xml:space="preserve">2045 Projected Additional  </t>
  </si>
  <si>
    <t>Total WW Projection</t>
  </si>
  <si>
    <t>Beneficial Reuse Projection</t>
  </si>
  <si>
    <t xml:space="preserve">Beneficial Reuse Projection @ 75% </t>
  </si>
  <si>
    <t>WW Flow Projection</t>
  </si>
  <si>
    <t>Supplemental Flows Projection</t>
  </si>
  <si>
    <t>Notes:</t>
  </si>
  <si>
    <t xml:space="preserve">1.) All values are shown in million gallons per day. </t>
  </si>
  <si>
    <t xml:space="preserve">2020 CFWI Reuse Summary </t>
  </si>
  <si>
    <t xml:space="preserve">Irrigation </t>
  </si>
  <si>
    <t>Recharge</t>
  </si>
  <si>
    <t xml:space="preserve">Total </t>
  </si>
  <si>
    <t xml:space="preserve">1.) All flow and reuse values are shown in million gallons per day. </t>
  </si>
  <si>
    <t>2020-2045 Population Increase</t>
  </si>
  <si>
    <t xml:space="preserve">WW Flow </t>
  </si>
  <si>
    <t>Increase</t>
  </si>
  <si>
    <t>% Increase</t>
  </si>
  <si>
    <t>Category</t>
  </si>
  <si>
    <t>2045 Total WW Flow w/Supplementation</t>
  </si>
  <si>
    <t xml:space="preserve">2045 Total Beneficial Reuse </t>
  </si>
  <si>
    <t>Flow</t>
  </si>
  <si>
    <t>%</t>
  </si>
  <si>
    <t>3.) Differences between wastewater flows at treatment facilities and the sum of water reused and disposed from these facilities can exist due to the addition of post-treatment supplemental water (e.g., concentrate), transfer of flows between facilities, in-facility processes etc. that can lead to double counting of flows, and/or metering inaccuracies.</t>
  </si>
  <si>
    <t xml:space="preserve">2.) 2020 information obtained from FDEP 2020 Reuse Inventory. Information was modified as a result of stakeholder feedback where appropriate. </t>
  </si>
  <si>
    <t>2020 Reuse Flows and Reuse Categories by Facility, County, and District in the CFWI Planning Area</t>
  </si>
  <si>
    <t>The Tables in Appendix A of the 2025 Central Florida Water Initiative (CFWI) Regional Water Supply Plan (RWSP) are numbered differently in the 2025 CFWI RWSP than in this Excel file to allow for formatting in the 2025 CFWI RWSP. Below is a summary to assist in comparing these Excel tables with the Appendix A formatted tables.</t>
  </si>
  <si>
    <t xml:space="preserve">No treatment / pass through for distribution.
</t>
  </si>
  <si>
    <t>Supplemental Flow is from GW. Other = Alternate Application Sites. No treatment happens here (just pass thru for distribution).</t>
  </si>
  <si>
    <t xml:space="preserve">Some flows sent to Ocoee. Per Robin U at OUCD, 15 mgd sent to DC II should not get subtracted from Edible Crops &amp; RIBs. </t>
  </si>
  <si>
    <t xml:space="preserve">Flows from: FL0038849 (OCUD Eastern 3.36 mgd) &amp; FL0037966 (IronBridge 4.71 mgd) and 6.84 mgd from WC I go to Shared network: Orange/ Seminole County ERRDS (Eastern Regional Reclaimed Water Distribution System). </t>
  </si>
  <si>
    <t>3.36 mgd to Orlando - Water Conserv I WRF.</t>
  </si>
  <si>
    <t xml:space="preserve"> 2021 Data used due to lack of 2020 data.</t>
  </si>
  <si>
    <t>Flows combined with TWA South Bermuda.</t>
  </si>
  <si>
    <t>Supplemental Flow is GW.</t>
  </si>
  <si>
    <t>Flow values split between two counties.</t>
  </si>
  <si>
    <t>Includes flows out to Oviedo and in from Winter Park Estates. 4.71 mgd to Orlando - Water Conserv I WRF.</t>
  </si>
  <si>
    <r>
      <rPr>
        <b/>
        <u/>
        <sz val="11"/>
        <color theme="1"/>
        <rFont val="Calibri"/>
        <family val="2"/>
        <scheme val="minor"/>
      </rPr>
      <t>2020 RW by County Tab</t>
    </r>
    <r>
      <rPr>
        <sz val="11"/>
        <color theme="1"/>
        <rFont val="Calibri"/>
        <family val="2"/>
        <scheme val="minor"/>
      </rPr>
      <t xml:space="preserve"> is not a table represented in Appendix A of the 2025 CFWI RWSP. The information contained in this tab was developed to support the base year data for the associated reclaimed water projections.</t>
    </r>
  </si>
  <si>
    <r>
      <rPr>
        <b/>
        <u/>
        <sz val="11"/>
        <color theme="1"/>
        <rFont val="Calibri"/>
        <family val="2"/>
        <scheme val="minor"/>
      </rPr>
      <t>Appendix A Format Tab</t>
    </r>
    <r>
      <rPr>
        <sz val="11"/>
        <color theme="1"/>
        <rFont val="Calibri"/>
        <family val="2"/>
        <scheme val="minor"/>
      </rPr>
      <t xml:space="preserve"> is represented by: Table A-13a (2020 Reuse flows and reuse categories by facility, county, and District in the CFWI Planning Area) and Table A-13b (Summary of 2020 Reuse flows and reuse categories by District in the CFWI Planning Area) in Appendix A of the 2025 CFWI RWSP.</t>
    </r>
  </si>
  <si>
    <r>
      <rPr>
        <b/>
        <u/>
        <sz val="11"/>
        <color theme="1"/>
        <rFont val="Calibri"/>
        <family val="2"/>
        <scheme val="minor"/>
      </rPr>
      <t>2045 RW Projections Tab</t>
    </r>
    <r>
      <rPr>
        <b/>
        <sz val="11"/>
        <color theme="1"/>
        <rFont val="Calibri"/>
        <family val="2"/>
        <scheme val="minor"/>
      </rPr>
      <t xml:space="preserve"> </t>
    </r>
    <r>
      <rPr>
        <sz val="11"/>
        <color theme="1"/>
        <rFont val="Calibri"/>
        <family val="2"/>
        <scheme val="minor"/>
      </rPr>
      <t xml:space="preserve">is represented by: Table A-13c (2020 estimates and 2045 projections for total service area population, septic population, and adjusted service area population by wastewater treatment facility, county, and District in the CFWI Planning Area), Table A-13d (Summary of 2020 estimates and 2045 projections for total service area population, septic population, and adjusted service area population by District in the CFWI Planning Area), Table A-13e (2020, 2045 projected additional, and 2045 projected total flows for wastewater, beneficial reuse, and supplemental flows by facility, county, and District in the CFWI Planning Area), and Table A-13f (2020, 2045 projected additional, and 2045 projected total flows for wastewater, beneficial reuse, and supplemental flows by District in the CFWI Planning Area) in Appendix A of the 2025 CFWI RWSP.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</si>
</sst>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_);_(* \(#,##0.000\);_(* &quot;-&quot;??_);_(@_)"/>
    <numFmt numFmtId="166" formatCode="0.0"/>
  </numFmts>
  <fonts count="6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1"/>
      <name val="Calibri"/>
      <family val="2"/>
      <scheme val="minor"/>
    </font>
    <font>
      <sz val="10"/>
      <name val="Arial"/>
      <family val="2"/>
    </font>
    <font>
      <sz val="10"/>
      <name val="Arial"/>
      <family val="2"/>
    </font>
    <font>
      <sz val="10"/>
      <name val="Calibri"/>
      <family val="2"/>
    </font>
    <font>
      <sz val="10"/>
      <name val="MS Sans Serif"/>
      <family val="2"/>
    </font>
    <font>
      <b/>
      <sz val="11"/>
      <color rgb="FF000000"/>
      <name val="Calibri"/>
      <family val="2"/>
    </font>
    <font>
      <sz val="11"/>
      <color theme="1"/>
      <name val="Calibri"/>
      <family val="2"/>
    </font>
    <font>
      <sz val="11"/>
      <name val="Calibri"/>
      <family val="2"/>
    </font>
    <font>
      <sz val="10"/>
      <color indexed="8"/>
      <name val="Times New Roman"/>
      <family val="1"/>
    </font>
    <font>
      <sz val="11"/>
      <color rgb="FFFF0000"/>
      <name val="Calibri"/>
      <family val="2"/>
    </font>
    <font>
      <b/>
      <sz val="11"/>
      <color rgb="FFFF0000"/>
      <name val="Calibri"/>
      <family val="2"/>
      <scheme val="minor"/>
    </font>
    <font>
      <b/>
      <sz val="12"/>
      <name val="Calibri"/>
      <family val="2"/>
      <scheme val="minor"/>
    </font>
    <font>
      <b/>
      <u/>
      <sz val="11"/>
      <name val="Calibri"/>
      <family val="2"/>
    </font>
    <font>
      <b/>
      <sz val="14"/>
      <color theme="1"/>
      <name val="Calibri"/>
      <family val="2"/>
    </font>
    <font>
      <sz val="14"/>
      <color theme="1"/>
      <name val="Calibri"/>
      <family val="2"/>
    </font>
    <font>
      <sz val="14"/>
      <color theme="1"/>
      <name val="Calibri"/>
      <family val="2"/>
      <scheme val="minor"/>
    </font>
    <font>
      <b/>
      <sz val="11"/>
      <color rgb="FFFF0000"/>
      <name val="Arial Narrow"/>
      <family val="2"/>
    </font>
    <font>
      <b/>
      <sz val="7"/>
      <color rgb="FFFF0000"/>
      <name val="Arial Narrow"/>
      <family val="2"/>
    </font>
    <font>
      <sz val="10"/>
      <color rgb="FFFF0000"/>
      <name val="Arial Narrow"/>
      <family val="2"/>
    </font>
    <font>
      <b/>
      <sz val="8"/>
      <color rgb="FFFF0000"/>
      <name val="Arial Narrow"/>
      <family val="2"/>
    </font>
    <font>
      <sz val="8"/>
      <color rgb="FFFF0000"/>
      <name val="Arial Narrow"/>
      <family val="2"/>
    </font>
    <font>
      <b/>
      <sz val="8"/>
      <name val="Arial Narrow"/>
      <family val="2"/>
    </font>
    <font>
      <b/>
      <sz val="12"/>
      <color theme="0"/>
      <name val="Calibri"/>
      <family val="2"/>
    </font>
    <font>
      <b/>
      <sz val="12"/>
      <color theme="0"/>
      <name val="Calibri"/>
      <family val="2"/>
      <scheme val="minor"/>
    </font>
    <font>
      <sz val="12"/>
      <name val="Calibri"/>
      <family val="2"/>
      <scheme val="minor"/>
    </font>
    <font>
      <sz val="12"/>
      <color theme="1"/>
      <name val="Calibri"/>
      <family val="2"/>
      <scheme val="minor"/>
    </font>
    <font>
      <b/>
      <sz val="8"/>
      <color rgb="FFFF0000"/>
      <name val="Calibri"/>
      <family val="2"/>
    </font>
    <font>
      <sz val="8"/>
      <color rgb="FFFF0000"/>
      <name val="Calibri"/>
      <family val="2"/>
    </font>
    <font>
      <sz val="11"/>
      <color theme="8" tint="-0.499984740745262"/>
      <name val="Calibri"/>
      <family val="2"/>
    </font>
    <font>
      <b/>
      <sz val="11"/>
      <color theme="0"/>
      <name val="Calibri"/>
      <family val="2"/>
    </font>
    <font>
      <sz val="9"/>
      <name val="Calibri"/>
      <family val="2"/>
    </font>
    <font>
      <sz val="8"/>
      <name val="Calibri"/>
      <family val="2"/>
      <scheme val="minor"/>
    </font>
    <font>
      <b/>
      <sz val="8"/>
      <name val="Calibri"/>
      <family val="2"/>
    </font>
    <font>
      <sz val="8"/>
      <name val="Calibri"/>
      <family val="2"/>
    </font>
    <font>
      <b/>
      <sz val="8"/>
      <name val="Calibri"/>
      <family val="2"/>
      <scheme val="minor"/>
    </font>
    <font>
      <sz val="8"/>
      <color rgb="FFFF0000"/>
      <name val="Calibri"/>
      <family val="2"/>
      <scheme val="minor"/>
    </font>
    <font>
      <sz val="12"/>
      <name val="Calibri"/>
      <family val="2"/>
    </font>
    <font>
      <b/>
      <sz val="12"/>
      <name val="Calibri"/>
      <family val="2"/>
    </font>
    <font>
      <u/>
      <sz val="12"/>
      <name val="Calibri"/>
      <family val="2"/>
    </font>
    <font>
      <u/>
      <sz val="8"/>
      <name val="Calibri"/>
      <family val="2"/>
    </font>
    <font>
      <sz val="8"/>
      <color theme="1"/>
      <name val="Calibri"/>
      <family val="2"/>
      <scheme val="minor"/>
    </font>
    <font>
      <b/>
      <sz val="8"/>
      <color theme="1"/>
      <name val="Calibri"/>
      <family val="2"/>
      <scheme val="minor"/>
    </font>
    <font>
      <sz val="12"/>
      <color theme="1"/>
      <name val="Calibri"/>
      <family val="2"/>
    </font>
    <font>
      <sz val="8"/>
      <color theme="1"/>
      <name val="Calibri"/>
      <family val="2"/>
    </font>
    <font>
      <b/>
      <u/>
      <sz val="11"/>
      <color theme="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CCF9"/>
        <bgColor indexed="64"/>
      </patternFill>
    </fill>
    <fill>
      <patternFill patternType="solid">
        <fgColor rgb="FFFFFF00"/>
        <bgColor indexed="64"/>
      </patternFill>
    </fill>
    <fill>
      <patternFill patternType="solid">
        <fgColor rgb="FFFCCCF9"/>
        <bgColor rgb="FF000000"/>
      </patternFill>
    </fill>
    <fill>
      <patternFill patternType="solid">
        <fgColor rgb="FFCC66FF"/>
        <bgColor indexed="64"/>
      </patternFill>
    </fill>
    <fill>
      <patternFill patternType="solid">
        <fgColor rgb="FF8BE9FF"/>
        <bgColor indexed="64"/>
      </patternFill>
    </fill>
    <fill>
      <patternFill patternType="solid">
        <fgColor theme="0" tint="-0.14999847407452621"/>
        <bgColor indexed="64"/>
      </patternFill>
    </fill>
    <fill>
      <patternFill patternType="solid">
        <fgColor theme="0"/>
        <bgColor indexed="64"/>
      </patternFill>
    </fill>
    <fill>
      <patternFill patternType="solid">
        <fgColor rgb="FF9966FF"/>
        <bgColor indexed="64"/>
      </patternFill>
    </fill>
    <fill>
      <patternFill patternType="solid">
        <fgColor rgb="FF0070C0"/>
        <bgColor indexed="64"/>
      </patternFill>
    </fill>
    <fill>
      <patternFill patternType="solid">
        <fgColor rgb="FF0070C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s>
  <cellStyleXfs count="7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3" fontId="1" fillId="0" borderId="0" applyFont="0" applyFill="0" applyBorder="0" applyAlignment="0" applyProtection="0"/>
    <xf numFmtId="0" fontId="1" fillId="0" borderId="0"/>
    <xf numFmtId="0" fontId="20" fillId="0" borderId="0"/>
    <xf numFmtId="9" fontId="21" fillId="0" borderId="0" applyFont="0" applyFill="0" applyBorder="0" applyAlignment="0" applyProtection="0"/>
    <xf numFmtId="0" fontId="1" fillId="0" borderId="0"/>
    <xf numFmtId="0" fontId="21" fillId="0" borderId="0"/>
    <xf numFmtId="0" fontId="21" fillId="0" borderId="0"/>
    <xf numFmtId="0" fontId="22" fillId="0" borderId="0">
      <alignment horizontal="left" indent="1"/>
    </xf>
    <xf numFmtId="0" fontId="21" fillId="0" borderId="0"/>
    <xf numFmtId="0" fontId="23" fillId="0" borderId="0"/>
    <xf numFmtId="9" fontId="20" fillId="0" borderId="0" applyFont="0" applyFill="0" applyBorder="0" applyAlignment="0" applyProtection="0"/>
    <xf numFmtId="0" fontId="20" fillId="0" borderId="0"/>
    <xf numFmtId="0" fontId="20" fillId="0" borderId="0"/>
    <xf numFmtId="0" fontId="20" fillId="0" borderId="0"/>
    <xf numFmtId="9" fontId="1" fillId="0" borderId="0" applyFont="0" applyFill="0" applyBorder="0" applyAlignment="0" applyProtection="0"/>
    <xf numFmtId="0" fontId="18" fillId="0" borderId="0"/>
    <xf numFmtId="43" fontId="27" fillId="0" borderId="0" applyFont="0" applyFill="0" applyBorder="0" applyAlignment="0" applyProtection="0"/>
    <xf numFmtId="0" fontId="1" fillId="0" borderId="0"/>
    <xf numFmtId="0" fontId="18" fillId="0" borderId="0"/>
    <xf numFmtId="0" fontId="2" fillId="0" borderId="0" applyNumberFormat="0" applyFill="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8" fillId="0" borderId="0"/>
    <xf numFmtId="43" fontId="1" fillId="0" borderId="0" applyFont="0" applyFill="0" applyBorder="0" applyAlignment="0" applyProtection="0"/>
    <xf numFmtId="0" fontId="20" fillId="0" borderId="0"/>
  </cellStyleXfs>
  <cellXfs count="732">
    <xf numFmtId="0" fontId="0" fillId="0" borderId="0" xfId="0"/>
    <xf numFmtId="49" fontId="25" fillId="0" borderId="12" xfId="0" applyNumberFormat="1" applyFont="1" applyBorder="1"/>
    <xf numFmtId="0" fontId="25" fillId="0" borderId="0" xfId="0" applyFont="1"/>
    <xf numFmtId="0" fontId="25" fillId="0" borderId="19" xfId="0" applyFont="1" applyBorder="1" applyAlignment="1">
      <alignment horizontal="center"/>
    </xf>
    <xf numFmtId="0" fontId="25" fillId="0" borderId="16" xfId="0" applyFont="1" applyBorder="1" applyAlignment="1">
      <alignment horizontal="center"/>
    </xf>
    <xf numFmtId="0" fontId="25" fillId="0" borderId="18" xfId="0" applyFont="1" applyBorder="1" applyAlignment="1">
      <alignment horizontal="center"/>
    </xf>
    <xf numFmtId="0" fontId="25" fillId="0" borderId="12" xfId="0" applyFont="1" applyBorder="1" applyAlignment="1">
      <alignment horizontal="center"/>
    </xf>
    <xf numFmtId="0" fontId="25" fillId="0" borderId="0" xfId="0" applyFont="1" applyAlignment="1">
      <alignment horizontal="center"/>
    </xf>
    <xf numFmtId="1" fontId="25" fillId="0" borderId="34" xfId="0" applyNumberFormat="1" applyFont="1" applyBorder="1"/>
    <xf numFmtId="0" fontId="0" fillId="34" borderId="34" xfId="0" applyFill="1" applyBorder="1"/>
    <xf numFmtId="0" fontId="25" fillId="0" borderId="34" xfId="0" applyFont="1" applyBorder="1"/>
    <xf numFmtId="2" fontId="25" fillId="0" borderId="34" xfId="0" applyNumberFormat="1" applyFont="1" applyBorder="1"/>
    <xf numFmtId="43" fontId="25" fillId="0" borderId="34" xfId="43" applyFont="1" applyFill="1" applyBorder="1" applyAlignment="1">
      <alignment horizontal="center"/>
    </xf>
    <xf numFmtId="0" fontId="0" fillId="0" borderId="34" xfId="0" applyBorder="1"/>
    <xf numFmtId="0" fontId="0" fillId="38" borderId="34" xfId="0" applyFill="1" applyBorder="1"/>
    <xf numFmtId="43" fontId="26" fillId="0" borderId="34" xfId="43" applyFont="1" applyFill="1" applyBorder="1" applyAlignment="1">
      <alignment horizontal="center"/>
    </xf>
    <xf numFmtId="0" fontId="0" fillId="0" borderId="31" xfId="0" applyBorder="1"/>
    <xf numFmtId="43" fontId="28" fillId="0" borderId="34" xfId="43" applyFont="1" applyFill="1" applyBorder="1" applyAlignment="1">
      <alignment horizontal="center"/>
    </xf>
    <xf numFmtId="0" fontId="14" fillId="0" borderId="34" xfId="0" applyFont="1" applyBorder="1"/>
    <xf numFmtId="0" fontId="28" fillId="0" borderId="0" xfId="0" applyFont="1" applyAlignment="1">
      <alignment horizontal="center"/>
    </xf>
    <xf numFmtId="0" fontId="28" fillId="0" borderId="18" xfId="0" applyFont="1" applyBorder="1" applyAlignment="1">
      <alignment horizontal="center"/>
    </xf>
    <xf numFmtId="0" fontId="14" fillId="0" borderId="0" xfId="0" applyFont="1"/>
    <xf numFmtId="0" fontId="28" fillId="0" borderId="19" xfId="0" applyFont="1" applyBorder="1" applyAlignment="1">
      <alignment horizontal="center"/>
    </xf>
    <xf numFmtId="0" fontId="28" fillId="0" borderId="12" xfId="0" applyFont="1" applyBorder="1" applyAlignment="1">
      <alignment horizontal="center"/>
    </xf>
    <xf numFmtId="0" fontId="26" fillId="0" borderId="34" xfId="0" applyFont="1" applyBorder="1"/>
    <xf numFmtId="2" fontId="26" fillId="0" borderId="34" xfId="0" applyNumberFormat="1" applyFont="1" applyBorder="1"/>
    <xf numFmtId="43" fontId="26" fillId="34" borderId="34" xfId="43" applyFont="1" applyFill="1" applyBorder="1" applyAlignment="1">
      <alignment horizontal="center"/>
    </xf>
    <xf numFmtId="0" fontId="19" fillId="0" borderId="34" xfId="0" applyFont="1" applyBorder="1"/>
    <xf numFmtId="0" fontId="19" fillId="0" borderId="0" xfId="0" applyFont="1"/>
    <xf numFmtId="0" fontId="26" fillId="38" borderId="34" xfId="0" applyFont="1" applyFill="1" applyBorder="1"/>
    <xf numFmtId="0" fontId="19" fillId="0" borderId="31" xfId="0" applyFont="1" applyBorder="1"/>
    <xf numFmtId="0" fontId="19" fillId="0" borderId="43" xfId="0" applyFont="1" applyBorder="1"/>
    <xf numFmtId="0" fontId="19" fillId="0" borderId="36" xfId="0" applyFont="1" applyBorder="1"/>
    <xf numFmtId="0" fontId="19" fillId="0" borderId="37" xfId="0" applyFont="1" applyBorder="1"/>
    <xf numFmtId="0" fontId="0" fillId="0" borderId="41" xfId="0" applyBorder="1"/>
    <xf numFmtId="0" fontId="0" fillId="0" borderId="42" xfId="0" applyBorder="1"/>
    <xf numFmtId="0" fontId="26" fillId="39" borderId="34" xfId="0" applyFont="1" applyFill="1" applyBorder="1"/>
    <xf numFmtId="2" fontId="26" fillId="39" borderId="34" xfId="0" applyNumberFormat="1" applyFont="1" applyFill="1" applyBorder="1"/>
    <xf numFmtId="0" fontId="31" fillId="36" borderId="18" xfId="0" applyFont="1" applyFill="1" applyBorder="1" applyAlignment="1">
      <alignment horizontal="center"/>
    </xf>
    <xf numFmtId="0" fontId="26" fillId="36" borderId="18" xfId="0" applyFont="1" applyFill="1" applyBorder="1" applyAlignment="1">
      <alignment horizontal="center"/>
    </xf>
    <xf numFmtId="0" fontId="25" fillId="0" borderId="19" xfId="0" applyFont="1" applyBorder="1" applyAlignment="1">
      <alignment horizontal="center" wrapText="1"/>
    </xf>
    <xf numFmtId="0" fontId="34" fillId="0" borderId="43" xfId="0" applyFont="1" applyBorder="1"/>
    <xf numFmtId="0" fontId="35" fillId="34" borderId="0" xfId="0" applyFont="1" applyFill="1"/>
    <xf numFmtId="0" fontId="36" fillId="34" borderId="0" xfId="0" applyFont="1" applyFill="1" applyAlignment="1">
      <alignment vertical="top" wrapText="1"/>
    </xf>
    <xf numFmtId="0" fontId="35" fillId="34" borderId="0" xfId="0" applyFont="1" applyFill="1" applyAlignment="1">
      <alignment vertical="top"/>
    </xf>
    <xf numFmtId="0" fontId="37" fillId="34" borderId="18" xfId="0" applyFont="1" applyFill="1" applyBorder="1" applyAlignment="1">
      <alignment horizontal="center"/>
    </xf>
    <xf numFmtId="0" fontId="37" fillId="34" borderId="0" xfId="0" applyFont="1" applyFill="1" applyAlignment="1">
      <alignment wrapText="1"/>
    </xf>
    <xf numFmtId="0" fontId="37" fillId="34" borderId="16" xfId="0" applyFont="1" applyFill="1" applyBorder="1" applyAlignment="1">
      <alignment horizontal="center"/>
    </xf>
    <xf numFmtId="0" fontId="37" fillId="34" borderId="0" xfId="0" applyFont="1" applyFill="1" applyAlignment="1">
      <alignment horizontal="center"/>
    </xf>
    <xf numFmtId="0" fontId="28" fillId="39" borderId="18" xfId="0" applyFont="1" applyFill="1" applyBorder="1" applyAlignment="1">
      <alignment horizontal="center"/>
    </xf>
    <xf numFmtId="43" fontId="28" fillId="39" borderId="12" xfId="0" applyNumberFormat="1" applyFont="1" applyFill="1" applyBorder="1" applyAlignment="1">
      <alignment horizontal="center"/>
    </xf>
    <xf numFmtId="0" fontId="25" fillId="0" borderId="11" xfId="0" applyFont="1" applyBorder="1" applyAlignment="1">
      <alignment horizontal="center"/>
    </xf>
    <xf numFmtId="0" fontId="31" fillId="40" borderId="35" xfId="0" applyFont="1" applyFill="1" applyBorder="1" applyAlignment="1">
      <alignment horizontal="center"/>
    </xf>
    <xf numFmtId="0" fontId="26" fillId="40" borderId="36" xfId="0" applyFont="1" applyFill="1" applyBorder="1" applyAlignment="1">
      <alignment horizontal="center"/>
    </xf>
    <xf numFmtId="0" fontId="19" fillId="40" borderId="36" xfId="0" applyFont="1" applyFill="1" applyBorder="1"/>
    <xf numFmtId="0" fontId="26" fillId="40" borderId="36" xfId="0" applyFont="1" applyFill="1" applyBorder="1" applyAlignment="1">
      <alignment horizontal="left"/>
    </xf>
    <xf numFmtId="43" fontId="26" fillId="40" borderId="36" xfId="0" applyNumberFormat="1" applyFont="1" applyFill="1" applyBorder="1" applyAlignment="1">
      <alignment horizontal="center"/>
    </xf>
    <xf numFmtId="0" fontId="26" fillId="40" borderId="37" xfId="0" applyFont="1" applyFill="1" applyBorder="1" applyAlignment="1">
      <alignment horizontal="center"/>
    </xf>
    <xf numFmtId="43" fontId="26" fillId="40" borderId="40" xfId="0" applyNumberFormat="1" applyFont="1" applyFill="1" applyBorder="1" applyAlignment="1">
      <alignment horizontal="center"/>
    </xf>
    <xf numFmtId="0" fontId="26" fillId="40" borderId="41" xfId="0" applyFont="1" applyFill="1" applyBorder="1" applyAlignment="1">
      <alignment horizontal="center"/>
    </xf>
    <xf numFmtId="0" fontId="19" fillId="40" borderId="41" xfId="0" applyFont="1" applyFill="1" applyBorder="1"/>
    <xf numFmtId="0" fontId="26" fillId="40" borderId="42" xfId="0" applyFont="1" applyFill="1" applyBorder="1" applyAlignment="1">
      <alignment horizontal="center"/>
    </xf>
    <xf numFmtId="49" fontId="40" fillId="33" borderId="34" xfId="0" applyNumberFormat="1" applyFont="1" applyFill="1" applyBorder="1"/>
    <xf numFmtId="49" fontId="40" fillId="33" borderId="34" xfId="0" applyNumberFormat="1" applyFont="1" applyFill="1" applyBorder="1" applyAlignment="1">
      <alignment wrapText="1"/>
    </xf>
    <xf numFmtId="0" fontId="40" fillId="33" borderId="35" xfId="0" applyFont="1" applyFill="1" applyBorder="1" applyAlignment="1">
      <alignment horizontal="center" wrapText="1"/>
    </xf>
    <xf numFmtId="0" fontId="40" fillId="33" borderId="36" xfId="0" applyFont="1" applyFill="1" applyBorder="1" applyAlignment="1">
      <alignment horizontal="center" wrapText="1"/>
    </xf>
    <xf numFmtId="0" fontId="40" fillId="33" borderId="36" xfId="0" applyFont="1" applyFill="1" applyBorder="1" applyAlignment="1">
      <alignment wrapText="1"/>
    </xf>
    <xf numFmtId="0" fontId="40" fillId="33" borderId="37" xfId="0" applyFont="1" applyFill="1" applyBorder="1" applyAlignment="1">
      <alignment horizontal="center" wrapText="1"/>
    </xf>
    <xf numFmtId="0" fontId="40" fillId="33" borderId="38" xfId="0" applyFont="1" applyFill="1" applyBorder="1"/>
    <xf numFmtId="2" fontId="0" fillId="33" borderId="41" xfId="0" applyNumberFormat="1" applyFill="1" applyBorder="1"/>
    <xf numFmtId="2" fontId="14" fillId="33" borderId="41" xfId="0" applyNumberFormat="1" applyFont="1" applyFill="1" applyBorder="1"/>
    <xf numFmtId="2" fontId="14" fillId="33" borderId="42" xfId="0" applyNumberFormat="1" applyFont="1" applyFill="1" applyBorder="1"/>
    <xf numFmtId="49" fontId="38" fillId="33" borderId="34" xfId="0" applyNumberFormat="1" applyFont="1" applyFill="1" applyBorder="1"/>
    <xf numFmtId="49" fontId="38" fillId="33" borderId="39" xfId="0" applyNumberFormat="1" applyFont="1" applyFill="1" applyBorder="1"/>
    <xf numFmtId="0" fontId="39" fillId="33" borderId="40" xfId="0" applyFont="1" applyFill="1" applyBorder="1"/>
    <xf numFmtId="0" fontId="38" fillId="33" borderId="36" xfId="0" applyFont="1" applyFill="1" applyBorder="1" applyAlignment="1">
      <alignment horizontal="center" wrapText="1"/>
    </xf>
    <xf numFmtId="0" fontId="0" fillId="0" borderId="43" xfId="0" applyBorder="1"/>
    <xf numFmtId="0" fontId="29" fillId="0" borderId="34" xfId="0" applyFont="1" applyBorder="1"/>
    <xf numFmtId="0" fontId="42" fillId="41" borderId="17" xfId="0" applyFont="1" applyFill="1" applyBorder="1"/>
    <xf numFmtId="0" fontId="42" fillId="41" borderId="20" xfId="0" applyFont="1" applyFill="1" applyBorder="1"/>
    <xf numFmtId="0" fontId="42" fillId="0" borderId="0" xfId="0" applyFont="1"/>
    <xf numFmtId="0" fontId="30" fillId="0" borderId="0" xfId="0" applyFont="1"/>
    <xf numFmtId="0" fontId="44" fillId="0" borderId="0" xfId="0" applyFont="1"/>
    <xf numFmtId="0" fontId="28" fillId="0" borderId="34" xfId="0" applyFont="1" applyBorder="1"/>
    <xf numFmtId="0" fontId="42" fillId="41" borderId="47" xfId="0" applyFont="1" applyFill="1" applyBorder="1"/>
    <xf numFmtId="0" fontId="19" fillId="0" borderId="46" xfId="0" applyFont="1" applyBorder="1"/>
    <xf numFmtId="0" fontId="19" fillId="0" borderId="48" xfId="0" applyFont="1" applyBorder="1"/>
    <xf numFmtId="0" fontId="19" fillId="0" borderId="49" xfId="0" applyFont="1" applyBorder="1"/>
    <xf numFmtId="0" fontId="14" fillId="0" borderId="46" xfId="0" applyFont="1" applyBorder="1"/>
    <xf numFmtId="0" fontId="30" fillId="0" borderId="46" xfId="0" applyFont="1" applyBorder="1"/>
    <xf numFmtId="0" fontId="19" fillId="0" borderId="50" xfId="0" applyFont="1" applyBorder="1"/>
    <xf numFmtId="0" fontId="0" fillId="38" borderId="46" xfId="0" applyFill="1" applyBorder="1"/>
    <xf numFmtId="0" fontId="0" fillId="0" borderId="46" xfId="0" applyBorder="1"/>
    <xf numFmtId="0" fontId="0" fillId="0" borderId="51" xfId="0" applyBorder="1"/>
    <xf numFmtId="0" fontId="0" fillId="0" borderId="48" xfId="0" applyBorder="1"/>
    <xf numFmtId="0" fontId="34" fillId="0" borderId="49" xfId="0" applyFont="1" applyBorder="1"/>
    <xf numFmtId="0" fontId="41" fillId="41" borderId="34" xfId="0" applyFont="1" applyFill="1" applyBorder="1"/>
    <xf numFmtId="2" fontId="41" fillId="41" borderId="34" xfId="0" applyNumberFormat="1" applyFont="1" applyFill="1" applyBorder="1"/>
    <xf numFmtId="49" fontId="41" fillId="41" borderId="34" xfId="0" applyNumberFormat="1" applyFont="1" applyFill="1" applyBorder="1"/>
    <xf numFmtId="1" fontId="41" fillId="41" borderId="34" xfId="0" applyNumberFormat="1" applyFont="1" applyFill="1" applyBorder="1"/>
    <xf numFmtId="0" fontId="32" fillId="0" borderId="34" xfId="0" applyFont="1" applyBorder="1"/>
    <xf numFmtId="0" fontId="33" fillId="0" borderId="34" xfId="0" applyFont="1" applyBorder="1"/>
    <xf numFmtId="2" fontId="32" fillId="0" borderId="34" xfId="0" applyNumberFormat="1" applyFont="1" applyBorder="1"/>
    <xf numFmtId="49" fontId="33" fillId="43" borderId="34" xfId="0" applyNumberFormat="1" applyFont="1" applyFill="1" applyBorder="1"/>
    <xf numFmtId="0" fontId="26" fillId="34" borderId="34" xfId="0" applyFont="1" applyFill="1" applyBorder="1"/>
    <xf numFmtId="0" fontId="28" fillId="0" borderId="34" xfId="0" applyFont="1" applyBorder="1" applyAlignment="1">
      <alignment vertical="center"/>
    </xf>
    <xf numFmtId="0" fontId="25" fillId="0" borderId="34" xfId="0" applyFont="1" applyBorder="1" applyAlignment="1">
      <alignment vertical="center"/>
    </xf>
    <xf numFmtId="2" fontId="25" fillId="0" borderId="34" xfId="0" applyNumberFormat="1" applyFont="1" applyBorder="1" applyAlignment="1">
      <alignment vertical="center"/>
    </xf>
    <xf numFmtId="0" fontId="26" fillId="0" borderId="34" xfId="0" applyFont="1" applyBorder="1" applyAlignment="1">
      <alignment vertical="center"/>
    </xf>
    <xf numFmtId="165" fontId="28" fillId="0" borderId="34" xfId="43" applyNumberFormat="1" applyFont="1" applyFill="1" applyBorder="1" applyAlignment="1">
      <alignment horizontal="center" vertical="center"/>
    </xf>
    <xf numFmtId="2" fontId="26" fillId="0" borderId="34" xfId="0" applyNumberFormat="1" applyFont="1" applyBorder="1" applyAlignment="1">
      <alignment vertical="center"/>
    </xf>
    <xf numFmtId="165" fontId="26" fillId="34" borderId="34" xfId="43" applyNumberFormat="1" applyFont="1" applyFill="1" applyBorder="1" applyAlignment="1">
      <alignment horizontal="center" vertical="center"/>
    </xf>
    <xf numFmtId="165" fontId="26" fillId="0" borderId="34" xfId="43" applyNumberFormat="1" applyFont="1" applyFill="1" applyBorder="1" applyAlignment="1">
      <alignment horizontal="center" vertical="center"/>
    </xf>
    <xf numFmtId="0" fontId="26" fillId="38" borderId="34" xfId="0" applyFont="1" applyFill="1" applyBorder="1" applyAlignment="1">
      <alignment vertical="center"/>
    </xf>
    <xf numFmtId="2" fontId="26" fillId="39" borderId="34" xfId="0" applyNumberFormat="1" applyFont="1" applyFill="1" applyBorder="1" applyAlignment="1">
      <alignment vertical="center"/>
    </xf>
    <xf numFmtId="2" fontId="26" fillId="38" borderId="34" xfId="0" applyNumberFormat="1" applyFont="1" applyFill="1" applyBorder="1" applyAlignment="1">
      <alignment vertical="center"/>
    </xf>
    <xf numFmtId="165" fontId="26" fillId="34" borderId="34" xfId="43" applyNumberFormat="1" applyFont="1" applyFill="1" applyBorder="1" applyAlignment="1">
      <alignment horizontal="center" vertical="center" wrapText="1"/>
    </xf>
    <xf numFmtId="165" fontId="26" fillId="0" borderId="34" xfId="43" applyNumberFormat="1" applyFont="1" applyFill="1" applyBorder="1" applyAlignment="1">
      <alignment horizontal="center" vertical="center" wrapText="1"/>
    </xf>
    <xf numFmtId="0" fontId="0" fillId="38" borderId="36" xfId="0" applyFill="1" applyBorder="1"/>
    <xf numFmtId="49" fontId="48" fillId="42" borderId="34" xfId="0" applyNumberFormat="1" applyFont="1" applyFill="1" applyBorder="1" applyAlignment="1">
      <alignment horizontal="left" vertical="top" wrapText="1"/>
    </xf>
    <xf numFmtId="0" fontId="17" fillId="0" borderId="0" xfId="0" applyFont="1"/>
    <xf numFmtId="0" fontId="26" fillId="45" borderId="34" xfId="0" applyFont="1" applyFill="1" applyBorder="1"/>
    <xf numFmtId="0" fontId="26" fillId="44" borderId="34" xfId="0" applyFont="1" applyFill="1" applyBorder="1" applyAlignment="1">
      <alignment horizontal="left" vertical="center"/>
    </xf>
    <xf numFmtId="2" fontId="26" fillId="34" borderId="34" xfId="0" applyNumberFormat="1" applyFont="1" applyFill="1" applyBorder="1" applyAlignment="1">
      <alignment vertical="center"/>
    </xf>
    <xf numFmtId="0" fontId="26" fillId="34" borderId="34" xfId="0" applyFont="1" applyFill="1" applyBorder="1" applyAlignment="1">
      <alignment horizontal="left" vertical="center"/>
    </xf>
    <xf numFmtId="0" fontId="45" fillId="35" borderId="34" xfId="0" applyFont="1" applyFill="1" applyBorder="1" applyAlignment="1">
      <alignment horizontal="left" vertical="top" wrapText="1"/>
    </xf>
    <xf numFmtId="0" fontId="46" fillId="0" borderId="34" xfId="0" applyFont="1" applyBorder="1" applyAlignment="1">
      <alignment horizontal="center" vertical="top" wrapText="1"/>
    </xf>
    <xf numFmtId="0" fontId="28" fillId="0" borderId="34" xfId="0" applyFont="1" applyBorder="1" applyAlignment="1">
      <alignment horizontal="center" vertical="top" wrapText="1"/>
    </xf>
    <xf numFmtId="0" fontId="0" fillId="34" borderId="34" xfId="0" applyFill="1" applyBorder="1" applyAlignment="1">
      <alignment vertical="center"/>
    </xf>
    <xf numFmtId="0" fontId="26" fillId="34" borderId="34" xfId="0" applyFont="1" applyFill="1" applyBorder="1" applyAlignment="1">
      <alignment horizontal="right" vertical="center"/>
    </xf>
    <xf numFmtId="0" fontId="26" fillId="34" borderId="34" xfId="0" applyFont="1" applyFill="1" applyBorder="1" applyAlignment="1">
      <alignment vertical="center"/>
    </xf>
    <xf numFmtId="49" fontId="26" fillId="34" borderId="34" xfId="0" applyNumberFormat="1" applyFont="1" applyFill="1" applyBorder="1" applyAlignment="1">
      <alignment horizontal="left" vertical="center"/>
    </xf>
    <xf numFmtId="0" fontId="41" fillId="41" borderId="52" xfId="0" applyFont="1" applyFill="1" applyBorder="1"/>
    <xf numFmtId="0" fontId="41" fillId="41" borderId="46" xfId="0" applyFont="1" applyFill="1" applyBorder="1"/>
    <xf numFmtId="1" fontId="25" fillId="0" borderId="52" xfId="0" applyNumberFormat="1" applyFont="1" applyBorder="1"/>
    <xf numFmtId="0" fontId="26" fillId="0" borderId="52" xfId="0" applyFont="1" applyBorder="1"/>
    <xf numFmtId="0" fontId="0" fillId="38" borderId="51" xfId="0" applyFill="1" applyBorder="1"/>
    <xf numFmtId="0" fontId="42" fillId="41" borderId="48" xfId="0" applyFont="1" applyFill="1" applyBorder="1"/>
    <xf numFmtId="0" fontId="42" fillId="41" borderId="46" xfId="0" applyFont="1" applyFill="1" applyBorder="1"/>
    <xf numFmtId="0" fontId="19" fillId="0" borderId="47" xfId="0" applyFont="1" applyBorder="1"/>
    <xf numFmtId="0" fontId="0" fillId="38" borderId="50" xfId="0" applyFill="1" applyBorder="1"/>
    <xf numFmtId="0" fontId="0" fillId="38" borderId="41" xfId="0" applyFill="1" applyBorder="1"/>
    <xf numFmtId="0" fontId="42" fillId="41" borderId="31" xfId="0" applyFont="1" applyFill="1" applyBorder="1"/>
    <xf numFmtId="0" fontId="42" fillId="41" borderId="34" xfId="0" applyFont="1" applyFill="1" applyBorder="1"/>
    <xf numFmtId="0" fontId="19" fillId="0" borderId="17" xfId="0" applyFont="1" applyBorder="1"/>
    <xf numFmtId="0" fontId="0" fillId="38" borderId="42" xfId="0" applyFill="1" applyBorder="1"/>
    <xf numFmtId="0" fontId="19" fillId="0" borderId="20" xfId="0" applyFont="1" applyBorder="1"/>
    <xf numFmtId="0" fontId="0" fillId="38" borderId="37" xfId="0" applyFill="1" applyBorder="1"/>
    <xf numFmtId="0" fontId="43" fillId="0" borderId="0" xfId="0" applyFont="1"/>
    <xf numFmtId="0" fontId="19" fillId="34" borderId="34" xfId="0" applyFont="1" applyFill="1" applyBorder="1" applyAlignment="1">
      <alignment vertical="center"/>
    </xf>
    <xf numFmtId="165" fontId="26" fillId="0" borderId="34" xfId="43" quotePrefix="1" applyNumberFormat="1" applyFont="1" applyFill="1" applyBorder="1" applyAlignment="1">
      <alignment horizontal="center" vertical="center"/>
    </xf>
    <xf numFmtId="0" fontId="45" fillId="35" borderId="34" xfId="0" applyFont="1" applyFill="1" applyBorder="1" applyAlignment="1">
      <alignment horizontal="left" vertical="top"/>
    </xf>
    <xf numFmtId="165" fontId="26" fillId="34" borderId="34" xfId="43" quotePrefix="1" applyNumberFormat="1" applyFont="1" applyFill="1" applyBorder="1" applyAlignment="1">
      <alignment horizontal="center" vertical="center"/>
    </xf>
    <xf numFmtId="43" fontId="26" fillId="0" borderId="34" xfId="43" applyFont="1" applyFill="1" applyBorder="1" applyAlignment="1">
      <alignment horizontal="center" vertical="center"/>
    </xf>
    <xf numFmtId="0" fontId="43" fillId="0" borderId="34" xfId="0" applyFont="1" applyBorder="1"/>
    <xf numFmtId="0" fontId="0" fillId="38" borderId="47" xfId="0" applyFill="1" applyBorder="1"/>
    <xf numFmtId="0" fontId="0" fillId="0" borderId="49" xfId="0" applyBorder="1"/>
    <xf numFmtId="0" fontId="16" fillId="37" borderId="51" xfId="0" applyFont="1" applyFill="1" applyBorder="1"/>
    <xf numFmtId="0" fontId="0" fillId="38" borderId="17" xfId="0" applyFill="1" applyBorder="1"/>
    <xf numFmtId="0" fontId="16" fillId="37" borderId="41" xfId="0" applyFont="1" applyFill="1" applyBorder="1"/>
    <xf numFmtId="0" fontId="0" fillId="38" borderId="20" xfId="0" applyFill="1" applyBorder="1"/>
    <xf numFmtId="0" fontId="16" fillId="37" borderId="42" xfId="0" applyFont="1" applyFill="1" applyBorder="1"/>
    <xf numFmtId="2" fontId="49" fillId="34" borderId="34" xfId="0" applyNumberFormat="1" applyFont="1" applyFill="1" applyBorder="1" applyAlignment="1">
      <alignment vertical="center"/>
    </xf>
    <xf numFmtId="166" fontId="25" fillId="0" borderId="0" xfId="0" applyNumberFormat="1" applyFont="1"/>
    <xf numFmtId="0" fontId="14" fillId="0" borderId="49" xfId="0" applyFont="1" applyBorder="1"/>
    <xf numFmtId="0" fontId="14" fillId="0" borderId="43" xfId="0" applyFont="1" applyBorder="1"/>
    <xf numFmtId="0" fontId="24" fillId="0" borderId="34" xfId="0" applyFont="1" applyBorder="1" applyAlignment="1">
      <alignment horizontal="center" vertical="top" wrapText="1"/>
    </xf>
    <xf numFmtId="0" fontId="26" fillId="0" borderId="34" xfId="0" applyFont="1" applyBorder="1" applyAlignment="1">
      <alignment horizontal="left" vertical="center"/>
    </xf>
    <xf numFmtId="49" fontId="28" fillId="0" borderId="34" xfId="0" applyNumberFormat="1" applyFont="1" applyBorder="1" applyAlignment="1">
      <alignment horizontal="left" vertical="center"/>
    </xf>
    <xf numFmtId="49" fontId="26" fillId="0" borderId="34" xfId="0" applyNumberFormat="1" applyFont="1" applyBorder="1" applyAlignment="1">
      <alignment horizontal="left" vertical="center"/>
    </xf>
    <xf numFmtId="49" fontId="28" fillId="0" borderId="34" xfId="0" applyNumberFormat="1" applyFont="1" applyBorder="1" applyAlignment="1">
      <alignment horizontal="left" vertical="top" wrapText="1"/>
    </xf>
    <xf numFmtId="1" fontId="26" fillId="0" borderId="34" xfId="0" applyNumberFormat="1" applyFont="1" applyBorder="1"/>
    <xf numFmtId="0" fontId="28" fillId="0" borderId="34" xfId="0" applyFont="1" applyBorder="1" applyAlignment="1">
      <alignment horizontal="left" wrapText="1"/>
    </xf>
    <xf numFmtId="0" fontId="28" fillId="0" borderId="34" xfId="0" applyFont="1" applyBorder="1" applyAlignment="1">
      <alignment horizontal="left" vertical="top" wrapText="1"/>
    </xf>
    <xf numFmtId="0" fontId="28" fillId="0" borderId="31" xfId="0" applyFont="1" applyBorder="1" applyAlignment="1">
      <alignment horizontal="left" vertical="top" wrapText="1"/>
    </xf>
    <xf numFmtId="49" fontId="26" fillId="0" borderId="34" xfId="0" applyNumberFormat="1" applyFont="1" applyBorder="1"/>
    <xf numFmtId="49" fontId="28" fillId="0" borderId="34" xfId="0" applyNumberFormat="1" applyFont="1" applyBorder="1"/>
    <xf numFmtId="43" fontId="26" fillId="34" borderId="34" xfId="43" applyFont="1" applyFill="1" applyBorder="1" applyAlignment="1">
      <alignment horizontal="center" vertical="center" wrapText="1"/>
    </xf>
    <xf numFmtId="49" fontId="28" fillId="0" borderId="34" xfId="0" applyNumberFormat="1" applyFont="1" applyBorder="1" applyAlignment="1">
      <alignment horizontal="left" vertical="top"/>
    </xf>
    <xf numFmtId="1" fontId="26" fillId="0" borderId="46" xfId="0" applyNumberFormat="1" applyFont="1" applyBorder="1"/>
    <xf numFmtId="49" fontId="25" fillId="0" borderId="34" xfId="0" applyNumberFormat="1" applyFont="1" applyBorder="1"/>
    <xf numFmtId="49" fontId="25" fillId="0" borderId="34" xfId="0" applyNumberFormat="1" applyFont="1" applyBorder="1" applyAlignment="1">
      <alignment wrapText="1"/>
    </xf>
    <xf numFmtId="49" fontId="47" fillId="0" borderId="34" xfId="0" applyNumberFormat="1" applyFont="1" applyBorder="1" applyAlignment="1">
      <alignment wrapText="1"/>
    </xf>
    <xf numFmtId="49" fontId="47" fillId="0" borderId="34" xfId="0" applyNumberFormat="1" applyFont="1" applyBorder="1"/>
    <xf numFmtId="0" fontId="32" fillId="0" borderId="34" xfId="0" applyFont="1" applyBorder="1" applyAlignment="1">
      <alignment horizontal="left"/>
    </xf>
    <xf numFmtId="0" fontId="52" fillId="0" borderId="0" xfId="0" applyFont="1"/>
    <xf numFmtId="2" fontId="52" fillId="0" borderId="69" xfId="0" applyNumberFormat="1" applyFont="1" applyBorder="1" applyAlignment="1">
      <alignment horizontal="right" wrapText="1"/>
    </xf>
    <xf numFmtId="2" fontId="52" fillId="0" borderId="43" xfId="0" applyNumberFormat="1" applyFont="1" applyBorder="1" applyAlignment="1">
      <alignment horizontal="right" wrapText="1"/>
    </xf>
    <xf numFmtId="2" fontId="52" fillId="0" borderId="70" xfId="0" applyNumberFormat="1" applyFont="1" applyBorder="1" applyAlignment="1">
      <alignment horizontal="right" wrapText="1"/>
    </xf>
    <xf numFmtId="2" fontId="52" fillId="0" borderId="63" xfId="0" applyNumberFormat="1" applyFont="1" applyBorder="1" applyAlignment="1">
      <alignment horizontal="right" wrapText="1"/>
    </xf>
    <xf numFmtId="2" fontId="52" fillId="0" borderId="67" xfId="0" applyNumberFormat="1" applyFont="1" applyBorder="1" applyAlignment="1">
      <alignment horizontal="right" wrapText="1"/>
    </xf>
    <xf numFmtId="2" fontId="52" fillId="0" borderId="71" xfId="0" applyNumberFormat="1" applyFont="1" applyBorder="1" applyAlignment="1">
      <alignment horizontal="right" wrapText="1"/>
    </xf>
    <xf numFmtId="2" fontId="51" fillId="46" borderId="72" xfId="0" applyNumberFormat="1" applyFont="1" applyFill="1" applyBorder="1" applyAlignment="1">
      <alignment horizontal="right"/>
    </xf>
    <xf numFmtId="2" fontId="51" fillId="46" borderId="65" xfId="0" applyNumberFormat="1" applyFont="1" applyFill="1" applyBorder="1" applyAlignment="1">
      <alignment horizontal="right"/>
    </xf>
    <xf numFmtId="2" fontId="51" fillId="46" borderId="66" xfId="0" applyNumberFormat="1" applyFont="1" applyFill="1" applyBorder="1" applyAlignment="1">
      <alignment horizontal="right"/>
    </xf>
    <xf numFmtId="2" fontId="51" fillId="46" borderId="65" xfId="0" applyNumberFormat="1" applyFont="1" applyFill="1" applyBorder="1" applyAlignment="1">
      <alignment horizontal="right" wrapText="1"/>
    </xf>
    <xf numFmtId="2" fontId="52" fillId="46" borderId="65" xfId="0" applyNumberFormat="1" applyFont="1" applyFill="1" applyBorder="1" applyAlignment="1">
      <alignment horizontal="right"/>
    </xf>
    <xf numFmtId="2" fontId="52" fillId="46" borderId="66" xfId="0" applyNumberFormat="1" applyFont="1" applyFill="1" applyBorder="1" applyAlignment="1">
      <alignment horizontal="right"/>
    </xf>
    <xf numFmtId="0" fontId="52" fillId="0" borderId="0" xfId="0" applyFont="1" applyAlignment="1">
      <alignment vertical="center"/>
    </xf>
    <xf numFmtId="0" fontId="52" fillId="0" borderId="43" xfId="0" applyFont="1" applyBorder="1" applyAlignment="1">
      <alignment wrapText="1"/>
    </xf>
    <xf numFmtId="2" fontId="52" fillId="0" borderId="43" xfId="43" applyNumberFormat="1" applyFont="1" applyFill="1" applyBorder="1" applyAlignment="1">
      <alignment horizontal="right" wrapText="1"/>
    </xf>
    <xf numFmtId="2" fontId="52" fillId="0" borderId="70" xfId="43" applyNumberFormat="1" applyFont="1" applyFill="1" applyBorder="1" applyAlignment="1">
      <alignment horizontal="right" wrapText="1"/>
    </xf>
    <xf numFmtId="0" fontId="52" fillId="0" borderId="34" xfId="0" applyFont="1" applyBorder="1"/>
    <xf numFmtId="2" fontId="52" fillId="0" borderId="34" xfId="43" applyNumberFormat="1" applyFont="1" applyFill="1" applyBorder="1" applyAlignment="1">
      <alignment horizontal="right" wrapText="1"/>
    </xf>
    <xf numFmtId="2" fontId="52" fillId="0" borderId="39" xfId="43" applyNumberFormat="1" applyFont="1" applyFill="1" applyBorder="1" applyAlignment="1">
      <alignment horizontal="right" wrapText="1"/>
    </xf>
    <xf numFmtId="2" fontId="52" fillId="0" borderId="38" xfId="43" applyNumberFormat="1" applyFont="1" applyFill="1" applyBorder="1" applyAlignment="1">
      <alignment horizontal="right" wrapText="1"/>
    </xf>
    <xf numFmtId="0" fontId="52" fillId="0" borderId="67" xfId="0" applyFont="1" applyBorder="1"/>
    <xf numFmtId="2" fontId="52" fillId="0" borderId="63" xfId="0" applyNumberFormat="1" applyFont="1" applyBorder="1" applyAlignment="1">
      <alignment horizontal="right"/>
    </xf>
    <xf numFmtId="2" fontId="52" fillId="0" borderId="67" xfId="43" applyNumberFormat="1" applyFont="1" applyFill="1" applyBorder="1" applyAlignment="1">
      <alignment horizontal="right" wrapText="1"/>
    </xf>
    <xf numFmtId="2" fontId="52" fillId="0" borderId="71" xfId="43" applyNumberFormat="1" applyFont="1" applyFill="1" applyBorder="1" applyAlignment="1">
      <alignment horizontal="right" wrapText="1"/>
    </xf>
    <xf numFmtId="2" fontId="52" fillId="0" borderId="63" xfId="43" applyNumberFormat="1" applyFont="1" applyFill="1" applyBorder="1" applyAlignment="1">
      <alignment horizontal="right" wrapText="1"/>
    </xf>
    <xf numFmtId="0" fontId="51" fillId="46" borderId="23" xfId="0" applyFont="1" applyFill="1" applyBorder="1" applyAlignment="1">
      <alignment horizontal="center"/>
    </xf>
    <xf numFmtId="0" fontId="52" fillId="0" borderId="34" xfId="0" applyFont="1" applyBorder="1" applyAlignment="1">
      <alignment wrapText="1"/>
    </xf>
    <xf numFmtId="0" fontId="52" fillId="0" borderId="38" xfId="0" applyFont="1" applyBorder="1"/>
    <xf numFmtId="0" fontId="52" fillId="0" borderId="63" xfId="0" applyFont="1" applyBorder="1"/>
    <xf numFmtId="0" fontId="52" fillId="0" borderId="67" xfId="0" applyFont="1" applyBorder="1" applyAlignment="1">
      <alignment wrapText="1"/>
    </xf>
    <xf numFmtId="2" fontId="51" fillId="46" borderId="65" xfId="43" applyNumberFormat="1" applyFont="1" applyFill="1" applyBorder="1" applyAlignment="1">
      <alignment horizontal="right" wrapText="1"/>
    </xf>
    <xf numFmtId="2" fontId="51" fillId="46" borderId="66" xfId="43" applyNumberFormat="1" applyFont="1" applyFill="1" applyBorder="1" applyAlignment="1">
      <alignment horizontal="right" wrapText="1"/>
    </xf>
    <xf numFmtId="2" fontId="51" fillId="46" borderId="72" xfId="43" applyNumberFormat="1" applyFont="1" applyFill="1" applyBorder="1" applyAlignment="1">
      <alignment horizontal="right" wrapText="1"/>
    </xf>
    <xf numFmtId="0" fontId="52" fillId="0" borderId="43" xfId="0" applyFont="1" applyBorder="1"/>
    <xf numFmtId="2" fontId="52" fillId="0" borderId="69" xfId="0" applyNumberFormat="1" applyFont="1" applyBorder="1" applyAlignment="1">
      <alignment horizontal="right"/>
    </xf>
    <xf numFmtId="2" fontId="52" fillId="0" borderId="69" xfId="43" applyNumberFormat="1" applyFont="1" applyFill="1" applyBorder="1" applyAlignment="1">
      <alignment horizontal="right" wrapText="1"/>
    </xf>
    <xf numFmtId="0" fontId="52" fillId="0" borderId="34" xfId="0" applyFont="1" applyBorder="1" applyAlignment="1">
      <alignment vertical="center"/>
    </xf>
    <xf numFmtId="49" fontId="52" fillId="0" borderId="0" xfId="0" applyNumberFormat="1" applyFont="1" applyAlignment="1">
      <alignment horizontal="left" vertical="center"/>
    </xf>
    <xf numFmtId="2" fontId="51" fillId="46" borderId="16" xfId="0" applyNumberFormat="1" applyFont="1" applyFill="1" applyBorder="1" applyAlignment="1">
      <alignment horizontal="right"/>
    </xf>
    <xf numFmtId="2" fontId="51" fillId="46" borderId="18" xfId="0" applyNumberFormat="1" applyFont="1" applyFill="1" applyBorder="1" applyAlignment="1">
      <alignment horizontal="right"/>
    </xf>
    <xf numFmtId="2" fontId="51" fillId="46" borderId="21" xfId="0" applyNumberFormat="1" applyFont="1" applyFill="1" applyBorder="1" applyAlignment="1">
      <alignment horizontal="right"/>
    </xf>
    <xf numFmtId="2" fontId="51" fillId="46" borderId="15" xfId="0" applyNumberFormat="1" applyFont="1" applyFill="1" applyBorder="1" applyAlignment="1">
      <alignment horizontal="right"/>
    </xf>
    <xf numFmtId="2" fontId="51" fillId="46" borderId="17" xfId="0" applyNumberFormat="1" applyFont="1" applyFill="1" applyBorder="1" applyAlignment="1">
      <alignment horizontal="right"/>
    </xf>
    <xf numFmtId="2" fontId="51" fillId="46" borderId="20" xfId="0" applyNumberFormat="1" applyFont="1" applyFill="1" applyBorder="1" applyAlignment="1">
      <alignment horizontal="right"/>
    </xf>
    <xf numFmtId="2" fontId="52" fillId="0" borderId="36" xfId="43" applyNumberFormat="1" applyFont="1" applyFill="1" applyBorder="1" applyAlignment="1">
      <alignment horizontal="right" wrapText="1"/>
    </xf>
    <xf numFmtId="2" fontId="52" fillId="0" borderId="37" xfId="43" applyNumberFormat="1" applyFont="1" applyFill="1" applyBorder="1" applyAlignment="1">
      <alignment horizontal="right" wrapText="1"/>
    </xf>
    <xf numFmtId="2" fontId="52" fillId="0" borderId="35" xfId="43" applyNumberFormat="1" applyFont="1" applyFill="1" applyBorder="1" applyAlignment="1">
      <alignment horizontal="right" wrapText="1"/>
    </xf>
    <xf numFmtId="2" fontId="52" fillId="0" borderId="43" xfId="43" quotePrefix="1" applyNumberFormat="1" applyFont="1" applyFill="1" applyBorder="1" applyAlignment="1">
      <alignment horizontal="right" wrapText="1"/>
    </xf>
    <xf numFmtId="2" fontId="52" fillId="0" borderId="69" xfId="43" quotePrefix="1" applyNumberFormat="1" applyFont="1" applyFill="1" applyBorder="1" applyAlignment="1">
      <alignment horizontal="right" wrapText="1"/>
    </xf>
    <xf numFmtId="2" fontId="52" fillId="0" borderId="34" xfId="0" applyNumberFormat="1" applyFont="1" applyBorder="1" applyAlignment="1">
      <alignment horizontal="right" wrapText="1"/>
    </xf>
    <xf numFmtId="2" fontId="52" fillId="0" borderId="38" xfId="0" applyNumberFormat="1" applyFont="1" applyBorder="1" applyAlignment="1">
      <alignment horizontal="right" wrapText="1"/>
    </xf>
    <xf numFmtId="2" fontId="52" fillId="0" borderId="39" xfId="0" applyNumberFormat="1" applyFont="1" applyBorder="1" applyAlignment="1">
      <alignment horizontal="right" wrapText="1"/>
    </xf>
    <xf numFmtId="0" fontId="52" fillId="0" borderId="38" xfId="0" applyFont="1" applyBorder="1" applyAlignment="1">
      <alignment wrapText="1"/>
    </xf>
    <xf numFmtId="2" fontId="52" fillId="0" borderId="34" xfId="43" quotePrefix="1" applyNumberFormat="1" applyFont="1" applyFill="1" applyBorder="1" applyAlignment="1">
      <alignment horizontal="right" wrapText="1"/>
    </xf>
    <xf numFmtId="2" fontId="52" fillId="0" borderId="38" xfId="43" quotePrefix="1" applyNumberFormat="1" applyFont="1" applyFill="1" applyBorder="1" applyAlignment="1">
      <alignment horizontal="right" wrapText="1"/>
    </xf>
    <xf numFmtId="2" fontId="52" fillId="0" borderId="67" xfId="43" quotePrefix="1" applyNumberFormat="1" applyFont="1" applyFill="1" applyBorder="1" applyAlignment="1">
      <alignment horizontal="right" wrapText="1"/>
    </xf>
    <xf numFmtId="0" fontId="52" fillId="0" borderId="35" xfId="0" applyFont="1" applyBorder="1"/>
    <xf numFmtId="2" fontId="51" fillId="46" borderId="65" xfId="43" quotePrefix="1" applyNumberFormat="1" applyFont="1" applyFill="1" applyBorder="1" applyAlignment="1">
      <alignment horizontal="right" wrapText="1"/>
    </xf>
    <xf numFmtId="2" fontId="51" fillId="46" borderId="66" xfId="0" applyNumberFormat="1" applyFont="1" applyFill="1" applyBorder="1" applyAlignment="1">
      <alignment horizontal="right" wrapText="1"/>
    </xf>
    <xf numFmtId="2" fontId="51" fillId="46" borderId="72" xfId="0" applyNumberFormat="1" applyFont="1" applyFill="1" applyBorder="1" applyAlignment="1">
      <alignment horizontal="right" wrapText="1"/>
    </xf>
    <xf numFmtId="1" fontId="52" fillId="0" borderId="35" xfId="0" applyNumberFormat="1" applyFont="1" applyBorder="1"/>
    <xf numFmtId="2" fontId="52" fillId="0" borderId="36" xfId="0" applyNumberFormat="1" applyFont="1" applyBorder="1" applyAlignment="1">
      <alignment horizontal="right"/>
    </xf>
    <xf numFmtId="2" fontId="52" fillId="0" borderId="37" xfId="0" applyNumberFormat="1" applyFont="1" applyBorder="1" applyAlignment="1">
      <alignment horizontal="right"/>
    </xf>
    <xf numFmtId="1" fontId="52" fillId="0" borderId="38" xfId="0" applyNumberFormat="1" applyFont="1" applyBorder="1"/>
    <xf numFmtId="2" fontId="52" fillId="0" borderId="34" xfId="0" applyNumberFormat="1" applyFont="1" applyBorder="1" applyAlignment="1">
      <alignment horizontal="right"/>
    </xf>
    <xf numFmtId="2" fontId="52" fillId="0" borderId="39" xfId="0" applyNumberFormat="1" applyFont="1" applyBorder="1" applyAlignment="1">
      <alignment horizontal="right"/>
    </xf>
    <xf numFmtId="2" fontId="52" fillId="0" borderId="67" xfId="0" applyNumberFormat="1" applyFont="1" applyBorder="1" applyAlignment="1">
      <alignment horizontal="right"/>
    </xf>
    <xf numFmtId="2" fontId="52" fillId="0" borderId="71" xfId="0" applyNumberFormat="1" applyFont="1" applyBorder="1" applyAlignment="1">
      <alignment horizontal="right"/>
    </xf>
    <xf numFmtId="0" fontId="51" fillId="0" borderId="0" xfId="0" applyFont="1" applyAlignment="1">
      <alignment horizontal="center"/>
    </xf>
    <xf numFmtId="2" fontId="51" fillId="0" borderId="0" xfId="0" applyNumberFormat="1" applyFont="1" applyAlignment="1">
      <alignment horizontal="right"/>
    </xf>
    <xf numFmtId="0" fontId="51" fillId="0" borderId="0" xfId="0" applyFont="1" applyAlignment="1">
      <alignment vertical="center" wrapText="1"/>
    </xf>
    <xf numFmtId="0" fontId="52" fillId="0" borderId="0" xfId="0" applyFont="1" applyAlignment="1">
      <alignment horizontal="left"/>
    </xf>
    <xf numFmtId="0" fontId="51" fillId="46" borderId="24" xfId="0" applyFont="1" applyFill="1" applyBorder="1" applyAlignment="1">
      <alignment horizontal="center" vertical="center"/>
    </xf>
    <xf numFmtId="0" fontId="51" fillId="46" borderId="24" xfId="0" applyFont="1" applyFill="1" applyBorder="1" applyAlignment="1">
      <alignment horizontal="center"/>
    </xf>
    <xf numFmtId="0" fontId="52" fillId="0" borderId="35" xfId="0" applyFont="1" applyBorder="1" applyAlignment="1">
      <alignment wrapText="1"/>
    </xf>
    <xf numFmtId="0" fontId="52" fillId="0" borderId="69" xfId="0" applyFont="1" applyBorder="1" applyAlignment="1">
      <alignment wrapText="1"/>
    </xf>
    <xf numFmtId="0" fontId="52" fillId="0" borderId="63" xfId="0" applyFont="1" applyBorder="1" applyAlignment="1">
      <alignment wrapText="1"/>
    </xf>
    <xf numFmtId="1" fontId="52" fillId="0" borderId="63" xfId="0" applyNumberFormat="1" applyFont="1" applyBorder="1"/>
    <xf numFmtId="0" fontId="51" fillId="0" borderId="17"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15" xfId="0" applyFont="1" applyBorder="1" applyAlignment="1">
      <alignment horizontal="center" vertical="center" wrapText="1"/>
    </xf>
    <xf numFmtId="0" fontId="52" fillId="0" borderId="43" xfId="0" applyFont="1" applyBorder="1" applyAlignment="1">
      <alignment horizontal="left"/>
    </xf>
    <xf numFmtId="2" fontId="52" fillId="0" borderId="43" xfId="0" applyNumberFormat="1" applyFont="1" applyBorder="1" applyAlignment="1">
      <alignment horizontal="right"/>
    </xf>
    <xf numFmtId="2" fontId="52" fillId="0" borderId="70" xfId="0" applyNumberFormat="1" applyFont="1" applyBorder="1" applyAlignment="1">
      <alignment horizontal="right"/>
    </xf>
    <xf numFmtId="0" fontId="52" fillId="0" borderId="67" xfId="0" applyFont="1" applyBorder="1" applyAlignment="1">
      <alignment horizontal="left"/>
    </xf>
    <xf numFmtId="0" fontId="51" fillId="46" borderId="11" xfId="0" applyFont="1" applyFill="1" applyBorder="1" applyAlignment="1">
      <alignment horizontal="center"/>
    </xf>
    <xf numFmtId="2" fontId="51" fillId="46" borderId="32" xfId="0" applyNumberFormat="1" applyFont="1" applyFill="1" applyBorder="1" applyAlignment="1">
      <alignment horizontal="right"/>
    </xf>
    <xf numFmtId="2" fontId="51" fillId="46" borderId="26" xfId="0" applyNumberFormat="1" applyFont="1" applyFill="1" applyBorder="1" applyAlignment="1">
      <alignment horizontal="right"/>
    </xf>
    <xf numFmtId="2" fontId="51" fillId="46" borderId="25" xfId="0" applyNumberFormat="1" applyFont="1" applyFill="1" applyBorder="1" applyAlignment="1">
      <alignment horizontal="right"/>
    </xf>
    <xf numFmtId="2" fontId="51" fillId="46" borderId="34" xfId="0" applyNumberFormat="1" applyFont="1" applyFill="1" applyBorder="1" applyAlignment="1">
      <alignment horizontal="right"/>
    </xf>
    <xf numFmtId="2" fontId="51" fillId="46" borderId="39" xfId="0" applyNumberFormat="1" applyFont="1" applyFill="1" applyBorder="1" applyAlignment="1">
      <alignment horizontal="right"/>
    </xf>
    <xf numFmtId="2" fontId="51" fillId="46" borderId="38" xfId="0" applyNumberFormat="1" applyFont="1" applyFill="1" applyBorder="1" applyAlignment="1">
      <alignment horizontal="right"/>
    </xf>
    <xf numFmtId="0" fontId="50" fillId="0" borderId="0" xfId="0" applyFont="1" applyAlignment="1">
      <alignment horizontal="left" vertical="top" wrapText="1"/>
    </xf>
    <xf numFmtId="0" fontId="50" fillId="0" borderId="0" xfId="0" applyFont="1"/>
    <xf numFmtId="164" fontId="50" fillId="0" borderId="0" xfId="43" applyNumberFormat="1" applyFont="1" applyFill="1" applyBorder="1" applyAlignment="1">
      <alignment horizontal="center"/>
    </xf>
    <xf numFmtId="0" fontId="50" fillId="0" borderId="0" xfId="0" applyFont="1" applyAlignment="1">
      <alignment vertical="center"/>
    </xf>
    <xf numFmtId="43" fontId="50" fillId="0" borderId="0" xfId="0" applyNumberFormat="1" applyFont="1" applyAlignment="1">
      <alignment vertical="center"/>
    </xf>
    <xf numFmtId="0" fontId="50" fillId="0" borderId="0" xfId="0" applyFont="1" applyAlignment="1">
      <alignment horizontal="center"/>
    </xf>
    <xf numFmtId="0" fontId="53" fillId="0" borderId="0" xfId="0" applyFont="1"/>
    <xf numFmtId="0" fontId="54" fillId="0" borderId="0" xfId="0" applyFont="1" applyAlignment="1">
      <alignment horizontal="center"/>
    </xf>
    <xf numFmtId="0" fontId="54" fillId="0" borderId="0" xfId="0" applyFont="1" applyAlignment="1">
      <alignment horizontal="right"/>
    </xf>
    <xf numFmtId="0" fontId="54" fillId="0" borderId="0" xfId="0" applyFont="1"/>
    <xf numFmtId="164" fontId="50" fillId="0" borderId="34" xfId="43" applyNumberFormat="1" applyFont="1" applyFill="1" applyBorder="1" applyAlignment="1">
      <alignment horizontal="center"/>
    </xf>
    <xf numFmtId="164" fontId="50" fillId="0" borderId="34" xfId="43" applyNumberFormat="1" applyFont="1" applyFill="1" applyBorder="1" applyAlignment="1">
      <alignment horizontal="right"/>
    </xf>
    <xf numFmtId="37" fontId="50" fillId="0" borderId="34" xfId="43" applyNumberFormat="1" applyFont="1" applyFill="1" applyBorder="1" applyAlignment="1"/>
    <xf numFmtId="164" fontId="53" fillId="46" borderId="34" xfId="0" applyNumberFormat="1" applyFont="1" applyFill="1" applyBorder="1" applyAlignment="1">
      <alignment horizontal="center"/>
    </xf>
    <xf numFmtId="164" fontId="53" fillId="46" borderId="31" xfId="0" applyNumberFormat="1" applyFont="1" applyFill="1" applyBorder="1" applyAlignment="1">
      <alignment horizontal="center"/>
    </xf>
    <xf numFmtId="164" fontId="53" fillId="46" borderId="17" xfId="0" applyNumberFormat="1" applyFont="1" applyFill="1" applyBorder="1" applyAlignment="1">
      <alignment horizontal="center"/>
    </xf>
    <xf numFmtId="164" fontId="53" fillId="46" borderId="17" xfId="43" applyNumberFormat="1" applyFont="1" applyFill="1" applyBorder="1" applyAlignment="1">
      <alignment horizontal="center"/>
    </xf>
    <xf numFmtId="164" fontId="53" fillId="46" borderId="20" xfId="0" applyNumberFormat="1" applyFont="1" applyFill="1" applyBorder="1" applyAlignment="1">
      <alignment horizontal="center"/>
    </xf>
    <xf numFmtId="164" fontId="53" fillId="46" borderId="36" xfId="0" applyNumberFormat="1" applyFont="1" applyFill="1" applyBorder="1" applyAlignment="1">
      <alignment horizontal="center"/>
    </xf>
    <xf numFmtId="164" fontId="53" fillId="46" borderId="37" xfId="0" applyNumberFormat="1" applyFont="1" applyFill="1" applyBorder="1" applyAlignment="1">
      <alignment horizontal="center"/>
    </xf>
    <xf numFmtId="164" fontId="53" fillId="46" borderId="39" xfId="0" applyNumberFormat="1" applyFont="1" applyFill="1" applyBorder="1" applyAlignment="1">
      <alignment horizontal="center"/>
    </xf>
    <xf numFmtId="164" fontId="53" fillId="46" borderId="87" xfId="0" applyNumberFormat="1" applyFont="1" applyFill="1" applyBorder="1" applyAlignment="1">
      <alignment horizontal="center"/>
    </xf>
    <xf numFmtId="2" fontId="53" fillId="46" borderId="36" xfId="0" applyNumberFormat="1" applyFont="1" applyFill="1" applyBorder="1" applyAlignment="1">
      <alignment horizontal="right"/>
    </xf>
    <xf numFmtId="2" fontId="53" fillId="46" borderId="34" xfId="0" applyNumberFormat="1" applyFont="1" applyFill="1" applyBorder="1" applyAlignment="1">
      <alignment horizontal="right"/>
    </xf>
    <xf numFmtId="2" fontId="53" fillId="46" borderId="31" xfId="0" applyNumberFormat="1" applyFont="1" applyFill="1" applyBorder="1" applyAlignment="1">
      <alignment horizontal="right"/>
    </xf>
    <xf numFmtId="2" fontId="53" fillId="46" borderId="17" xfId="0" applyNumberFormat="1" applyFont="1" applyFill="1" applyBorder="1" applyAlignment="1">
      <alignment horizontal="right"/>
    </xf>
    <xf numFmtId="2" fontId="50" fillId="0" borderId="34" xfId="43" applyNumberFormat="1" applyFont="1" applyFill="1" applyBorder="1" applyAlignment="1">
      <alignment horizontal="right"/>
    </xf>
    <xf numFmtId="2" fontId="50" fillId="0" borderId="34" xfId="0" applyNumberFormat="1" applyFont="1" applyBorder="1" applyAlignment="1">
      <alignment horizontal="right"/>
    </xf>
    <xf numFmtId="2" fontId="53" fillId="46" borderId="37" xfId="0" applyNumberFormat="1" applyFont="1" applyFill="1" applyBorder="1"/>
    <xf numFmtId="2" fontId="53" fillId="46" borderId="39" xfId="0" applyNumberFormat="1" applyFont="1" applyFill="1" applyBorder="1"/>
    <xf numFmtId="2" fontId="53" fillId="46" borderId="87" xfId="0" applyNumberFormat="1" applyFont="1" applyFill="1" applyBorder="1"/>
    <xf numFmtId="2" fontId="53" fillId="46" borderId="20" xfId="0" applyNumberFormat="1" applyFont="1" applyFill="1" applyBorder="1"/>
    <xf numFmtId="2" fontId="53" fillId="46" borderId="37" xfId="0" applyNumberFormat="1" applyFont="1" applyFill="1" applyBorder="1" applyAlignment="1">
      <alignment horizontal="right"/>
    </xf>
    <xf numFmtId="2" fontId="53" fillId="46" borderId="39" xfId="0" applyNumberFormat="1" applyFont="1" applyFill="1" applyBorder="1" applyAlignment="1">
      <alignment horizontal="right"/>
    </xf>
    <xf numFmtId="2" fontId="53" fillId="46" borderId="87" xfId="0" applyNumberFormat="1" applyFont="1" applyFill="1" applyBorder="1" applyAlignment="1">
      <alignment horizontal="right"/>
    </xf>
    <xf numFmtId="2" fontId="53" fillId="46" borderId="20" xfId="0" applyNumberFormat="1" applyFont="1" applyFill="1" applyBorder="1" applyAlignment="1">
      <alignment horizontal="right"/>
    </xf>
    <xf numFmtId="2" fontId="50" fillId="0" borderId="0" xfId="0" applyNumberFormat="1" applyFont="1" applyAlignment="1">
      <alignment horizontal="right"/>
    </xf>
    <xf numFmtId="2" fontId="50" fillId="0" borderId="38" xfId="43" applyNumberFormat="1" applyFont="1" applyFill="1" applyBorder="1" applyAlignment="1">
      <alignment horizontal="right"/>
    </xf>
    <xf numFmtId="2" fontId="50" fillId="0" borderId="39" xfId="43" applyNumberFormat="1" applyFont="1" applyFill="1" applyBorder="1" applyAlignment="1">
      <alignment horizontal="right"/>
    </xf>
    <xf numFmtId="2" fontId="53" fillId="46" borderId="86" xfId="0" applyNumberFormat="1" applyFont="1" applyFill="1" applyBorder="1" applyAlignment="1">
      <alignment horizontal="right"/>
    </xf>
    <xf numFmtId="2" fontId="53" fillId="46" borderId="35" xfId="0" applyNumberFormat="1" applyFont="1" applyFill="1" applyBorder="1" applyAlignment="1">
      <alignment horizontal="right"/>
    </xf>
    <xf numFmtId="2" fontId="53" fillId="46" borderId="38" xfId="0" applyNumberFormat="1" applyFont="1" applyFill="1" applyBorder="1" applyAlignment="1">
      <alignment horizontal="right"/>
    </xf>
    <xf numFmtId="2" fontId="53" fillId="46" borderId="15" xfId="0" applyNumberFormat="1" applyFont="1" applyFill="1" applyBorder="1" applyAlignment="1">
      <alignment horizontal="right"/>
    </xf>
    <xf numFmtId="164" fontId="50" fillId="0" borderId="59" xfId="43" applyNumberFormat="1" applyFont="1" applyFill="1" applyBorder="1" applyAlignment="1">
      <alignment horizontal="center"/>
    </xf>
    <xf numFmtId="164" fontId="53" fillId="46" borderId="59" xfId="43" applyNumberFormat="1" applyFont="1" applyFill="1" applyBorder="1" applyAlignment="1">
      <alignment horizontal="center"/>
    </xf>
    <xf numFmtId="164" fontId="50" fillId="0" borderId="59" xfId="43" applyNumberFormat="1" applyFont="1" applyFill="1" applyBorder="1" applyAlignment="1">
      <alignment horizontal="right"/>
    </xf>
    <xf numFmtId="164" fontId="53" fillId="46" borderId="76" xfId="43" applyNumberFormat="1" applyFont="1" applyFill="1" applyBorder="1" applyAlignment="1">
      <alignment horizontal="center"/>
    </xf>
    <xf numFmtId="164" fontId="53" fillId="46" borderId="58" xfId="43" applyNumberFormat="1" applyFont="1" applyFill="1" applyBorder="1" applyAlignment="1">
      <alignment horizontal="center"/>
    </xf>
    <xf numFmtId="164" fontId="53" fillId="46" borderId="10" xfId="43" applyNumberFormat="1" applyFont="1" applyFill="1" applyBorder="1" applyAlignment="1">
      <alignment horizontal="center"/>
    </xf>
    <xf numFmtId="0" fontId="50" fillId="0" borderId="52" xfId="0" applyFont="1" applyBorder="1" applyAlignment="1">
      <alignment wrapText="1"/>
    </xf>
    <xf numFmtId="1" fontId="50" fillId="0" borderId="52" xfId="0" applyNumberFormat="1" applyFont="1" applyBorder="1" applyAlignment="1">
      <alignment wrapText="1"/>
    </xf>
    <xf numFmtId="164" fontId="50" fillId="0" borderId="38" xfId="43" applyNumberFormat="1" applyFont="1" applyFill="1" applyBorder="1" applyAlignment="1">
      <alignment horizontal="right"/>
    </xf>
    <xf numFmtId="164" fontId="50" fillId="0" borderId="39" xfId="43" applyNumberFormat="1" applyFont="1" applyFill="1" applyBorder="1" applyAlignment="1">
      <alignment horizontal="right"/>
    </xf>
    <xf numFmtId="164" fontId="50" fillId="0" borderId="38" xfId="43" applyNumberFormat="1" applyFont="1" applyFill="1" applyBorder="1" applyAlignment="1">
      <alignment horizontal="center"/>
    </xf>
    <xf numFmtId="164" fontId="50" fillId="0" borderId="39" xfId="43" applyNumberFormat="1" applyFont="1" applyFill="1" applyBorder="1" applyAlignment="1">
      <alignment horizontal="center"/>
    </xf>
    <xf numFmtId="164" fontId="53" fillId="46" borderId="86" xfId="0" applyNumberFormat="1" applyFont="1" applyFill="1" applyBorder="1" applyAlignment="1">
      <alignment horizontal="center"/>
    </xf>
    <xf numFmtId="164" fontId="53" fillId="46" borderId="35" xfId="0" applyNumberFormat="1" applyFont="1" applyFill="1" applyBorder="1" applyAlignment="1">
      <alignment horizontal="center"/>
    </xf>
    <xf numFmtId="164" fontId="53" fillId="46" borderId="38" xfId="0" applyNumberFormat="1" applyFont="1" applyFill="1" applyBorder="1" applyAlignment="1">
      <alignment horizontal="center"/>
    </xf>
    <xf numFmtId="164" fontId="53" fillId="46" borderId="15" xfId="0" applyNumberFormat="1" applyFont="1" applyFill="1" applyBorder="1" applyAlignment="1">
      <alignment horizontal="center"/>
    </xf>
    <xf numFmtId="164" fontId="50" fillId="0" borderId="61" xfId="43" applyNumberFormat="1" applyFont="1" applyFill="1" applyBorder="1" applyAlignment="1">
      <alignment horizontal="center"/>
    </xf>
    <xf numFmtId="2" fontId="50" fillId="0" borderId="69" xfId="43" applyNumberFormat="1" applyFont="1" applyFill="1" applyBorder="1" applyAlignment="1">
      <alignment horizontal="right"/>
    </xf>
    <xf numFmtId="2" fontId="50" fillId="0" borderId="43" xfId="0" applyNumberFormat="1" applyFont="1" applyBorder="1" applyAlignment="1">
      <alignment horizontal="right"/>
    </xf>
    <xf numFmtId="2" fontId="50" fillId="0" borderId="43" xfId="43" applyNumberFormat="1" applyFont="1" applyFill="1" applyBorder="1" applyAlignment="1">
      <alignment horizontal="right"/>
    </xf>
    <xf numFmtId="2" fontId="50" fillId="0" borderId="70" xfId="43" applyNumberFormat="1" applyFont="1" applyFill="1" applyBorder="1" applyAlignment="1">
      <alignment horizontal="right"/>
    </xf>
    <xf numFmtId="2" fontId="50" fillId="0" borderId="39" xfId="43" applyNumberFormat="1" applyFont="1" applyFill="1" applyBorder="1" applyAlignment="1"/>
    <xf numFmtId="2" fontId="50" fillId="0" borderId="39" xfId="43" applyNumberFormat="1" applyFont="1" applyFill="1" applyBorder="1" applyAlignment="1">
      <alignment vertical="center"/>
    </xf>
    <xf numFmtId="0" fontId="53" fillId="0" borderId="15" xfId="0" applyFont="1" applyBorder="1" applyAlignment="1">
      <alignment horizontal="center" wrapText="1"/>
    </xf>
    <xf numFmtId="0" fontId="53" fillId="0" borderId="17" xfId="0" applyFont="1" applyBorder="1" applyAlignment="1">
      <alignment horizontal="center" wrapText="1"/>
    </xf>
    <xf numFmtId="0" fontId="53" fillId="0" borderId="20" xfId="0" applyFont="1" applyBorder="1" applyAlignment="1">
      <alignment horizontal="center" wrapText="1"/>
    </xf>
    <xf numFmtId="0" fontId="53" fillId="0" borderId="72" xfId="0" applyFont="1" applyBorder="1" applyAlignment="1">
      <alignment horizontal="center" wrapText="1"/>
    </xf>
    <xf numFmtId="0" fontId="53" fillId="0" borderId="65" xfId="0" applyFont="1" applyBorder="1" applyAlignment="1">
      <alignment horizontal="center" wrapText="1"/>
    </xf>
    <xf numFmtId="0" fontId="53" fillId="0" borderId="66" xfId="0" applyFont="1" applyBorder="1" applyAlignment="1">
      <alignment horizontal="center" wrapText="1"/>
    </xf>
    <xf numFmtId="164" fontId="50" fillId="0" borderId="61" xfId="43" applyNumberFormat="1" applyFont="1" applyFill="1" applyBorder="1" applyAlignment="1">
      <alignment horizontal="right"/>
    </xf>
    <xf numFmtId="164" fontId="50" fillId="0" borderId="58" xfId="43" applyNumberFormat="1" applyFont="1" applyFill="1" applyBorder="1" applyAlignment="1">
      <alignment horizontal="center"/>
    </xf>
    <xf numFmtId="2" fontId="50" fillId="0" borderId="35" xfId="43" applyNumberFormat="1" applyFont="1" applyFill="1" applyBorder="1" applyAlignment="1">
      <alignment horizontal="right"/>
    </xf>
    <xf numFmtId="2" fontId="50" fillId="0" borderId="36" xfId="0" applyNumberFormat="1" applyFont="1" applyBorder="1" applyAlignment="1">
      <alignment horizontal="right"/>
    </xf>
    <xf numFmtId="2" fontId="50" fillId="0" borderId="36" xfId="43" applyNumberFormat="1" applyFont="1" applyFill="1" applyBorder="1" applyAlignment="1">
      <alignment horizontal="right"/>
    </xf>
    <xf numFmtId="2" fontId="50" fillId="0" borderId="37" xfId="43" applyNumberFormat="1" applyFont="1" applyFill="1" applyBorder="1" applyAlignment="1">
      <alignment horizontal="right"/>
    </xf>
    <xf numFmtId="0" fontId="50" fillId="0" borderId="53" xfId="0" applyFont="1" applyBorder="1" applyAlignment="1">
      <alignment wrapText="1"/>
    </xf>
    <xf numFmtId="164" fontId="50" fillId="0" borderId="69" xfId="43" applyNumberFormat="1" applyFont="1" applyFill="1" applyBorder="1" applyAlignment="1">
      <alignment horizontal="center"/>
    </xf>
    <xf numFmtId="164" fontId="50" fillId="0" borderId="43" xfId="43" applyNumberFormat="1" applyFont="1" applyFill="1" applyBorder="1" applyAlignment="1">
      <alignment horizontal="center"/>
    </xf>
    <xf numFmtId="164" fontId="50" fillId="0" borderId="70" xfId="43" applyNumberFormat="1" applyFont="1" applyFill="1" applyBorder="1" applyAlignment="1">
      <alignment horizontal="center"/>
    </xf>
    <xf numFmtId="164" fontId="50" fillId="0" borderId="35" xfId="43" applyNumberFormat="1" applyFont="1" applyFill="1" applyBorder="1" applyAlignment="1">
      <alignment horizontal="right"/>
    </xf>
    <xf numFmtId="164" fontId="50" fillId="0" borderId="36" xfId="43" applyNumberFormat="1" applyFont="1" applyFill="1" applyBorder="1" applyAlignment="1">
      <alignment horizontal="right"/>
    </xf>
    <xf numFmtId="164" fontId="50" fillId="0" borderId="37" xfId="43" applyNumberFormat="1" applyFont="1" applyFill="1" applyBorder="1" applyAlignment="1">
      <alignment horizontal="right"/>
    </xf>
    <xf numFmtId="164" fontId="50" fillId="0" borderId="58" xfId="43" applyNumberFormat="1" applyFont="1" applyFill="1" applyBorder="1" applyAlignment="1">
      <alignment horizontal="right"/>
    </xf>
    <xf numFmtId="2" fontId="50" fillId="0" borderId="37" xfId="0" applyNumberFormat="1" applyFont="1" applyBorder="1" applyAlignment="1">
      <alignment horizontal="right"/>
    </xf>
    <xf numFmtId="37" fontId="50" fillId="0" borderId="43" xfId="43" applyNumberFormat="1" applyFont="1" applyFill="1" applyBorder="1" applyAlignment="1"/>
    <xf numFmtId="2" fontId="50" fillId="0" borderId="70" xfId="43" applyNumberFormat="1" applyFont="1" applyFill="1" applyBorder="1" applyAlignment="1"/>
    <xf numFmtId="2" fontId="50" fillId="0" borderId="37" xfId="43" applyNumberFormat="1" applyFont="1" applyFill="1" applyBorder="1" applyAlignment="1"/>
    <xf numFmtId="164" fontId="50" fillId="0" borderId="69" xfId="0" applyNumberFormat="1" applyFont="1" applyBorder="1" applyAlignment="1">
      <alignment horizontal="center"/>
    </xf>
    <xf numFmtId="164" fontId="50" fillId="0" borderId="43" xfId="0" applyNumberFormat="1" applyFont="1" applyBorder="1" applyAlignment="1">
      <alignment horizontal="center"/>
    </xf>
    <xf numFmtId="164" fontId="50" fillId="0" borderId="35" xfId="43" applyNumberFormat="1" applyFont="1" applyFill="1" applyBorder="1" applyAlignment="1">
      <alignment horizontal="center"/>
    </xf>
    <xf numFmtId="164" fontId="50" fillId="0" borderId="36" xfId="43" applyNumberFormat="1" applyFont="1" applyFill="1" applyBorder="1" applyAlignment="1">
      <alignment horizontal="center"/>
    </xf>
    <xf numFmtId="164" fontId="50" fillId="0" borderId="37" xfId="43" applyNumberFormat="1" applyFont="1" applyFill="1" applyBorder="1" applyAlignment="1">
      <alignment horizontal="center"/>
    </xf>
    <xf numFmtId="1" fontId="50" fillId="0" borderId="88" xfId="0" applyNumberFormat="1" applyFont="1" applyBorder="1"/>
    <xf numFmtId="0" fontId="50" fillId="0" borderId="85" xfId="0" applyFont="1" applyBorder="1" applyAlignment="1">
      <alignment wrapText="1"/>
    </xf>
    <xf numFmtId="0" fontId="50" fillId="0" borderId="54" xfId="0" applyFont="1" applyBorder="1" applyAlignment="1">
      <alignment wrapText="1"/>
    </xf>
    <xf numFmtId="1" fontId="50" fillId="0" borderId="54" xfId="0" applyNumberFormat="1" applyFont="1" applyBorder="1" applyAlignment="1">
      <alignment wrapText="1"/>
    </xf>
    <xf numFmtId="0" fontId="50" fillId="0" borderId="85" xfId="0" applyFont="1" applyBorder="1" applyAlignment="1">
      <alignment horizontal="left" wrapText="1"/>
    </xf>
    <xf numFmtId="0" fontId="52" fillId="0" borderId="88" xfId="0" applyFont="1" applyBorder="1" applyAlignment="1">
      <alignment wrapText="1"/>
    </xf>
    <xf numFmtId="164" fontId="53" fillId="46" borderId="15" xfId="43" applyNumberFormat="1" applyFont="1" applyFill="1" applyBorder="1" applyAlignment="1">
      <alignment horizontal="center"/>
    </xf>
    <xf numFmtId="164" fontId="53" fillId="46" borderId="20" xfId="43" applyNumberFormat="1" applyFont="1" applyFill="1" applyBorder="1" applyAlignment="1">
      <alignment horizontal="center"/>
    </xf>
    <xf numFmtId="2" fontId="53" fillId="46" borderId="15" xfId="43" applyNumberFormat="1" applyFont="1" applyFill="1" applyBorder="1" applyAlignment="1">
      <alignment horizontal="right"/>
    </xf>
    <xf numFmtId="2" fontId="53" fillId="46" borderId="17" xfId="43" applyNumberFormat="1" applyFont="1" applyFill="1" applyBorder="1" applyAlignment="1">
      <alignment horizontal="right"/>
    </xf>
    <xf numFmtId="2" fontId="53" fillId="46" borderId="20" xfId="43" applyNumberFormat="1" applyFont="1" applyFill="1" applyBorder="1" applyAlignment="1">
      <alignment horizontal="right"/>
    </xf>
    <xf numFmtId="2" fontId="53" fillId="46" borderId="20" xfId="43" applyNumberFormat="1" applyFont="1" applyFill="1" applyBorder="1" applyAlignment="1"/>
    <xf numFmtId="0" fontId="53" fillId="46" borderId="19" xfId="0" applyFont="1" applyFill="1" applyBorder="1"/>
    <xf numFmtId="164" fontId="53" fillId="46" borderId="16" xfId="0" applyNumberFormat="1" applyFont="1" applyFill="1" applyBorder="1" applyAlignment="1">
      <alignment horizontal="center"/>
    </xf>
    <xf numFmtId="164" fontId="53" fillId="46" borderId="18" xfId="0" applyNumberFormat="1" applyFont="1" applyFill="1" applyBorder="1" applyAlignment="1">
      <alignment horizontal="center"/>
    </xf>
    <xf numFmtId="164" fontId="53" fillId="46" borderId="21" xfId="0" applyNumberFormat="1" applyFont="1" applyFill="1" applyBorder="1" applyAlignment="1">
      <alignment horizontal="center"/>
    </xf>
    <xf numFmtId="164" fontId="53" fillId="46" borderId="13" xfId="43" applyNumberFormat="1" applyFont="1" applyFill="1" applyBorder="1" applyAlignment="1">
      <alignment horizontal="center"/>
    </xf>
    <xf numFmtId="2" fontId="53" fillId="46" borderId="16" xfId="0" applyNumberFormat="1" applyFont="1" applyFill="1" applyBorder="1" applyAlignment="1">
      <alignment horizontal="right"/>
    </xf>
    <xf numFmtId="2" fontId="53" fillId="46" borderId="18" xfId="0" applyNumberFormat="1" applyFont="1" applyFill="1" applyBorder="1" applyAlignment="1">
      <alignment horizontal="right"/>
    </xf>
    <xf numFmtId="2" fontId="53" fillId="46" borderId="21" xfId="0" applyNumberFormat="1" applyFont="1" applyFill="1" applyBorder="1" applyAlignment="1">
      <alignment horizontal="right"/>
    </xf>
    <xf numFmtId="2" fontId="53" fillId="46" borderId="21" xfId="0" applyNumberFormat="1" applyFont="1" applyFill="1" applyBorder="1"/>
    <xf numFmtId="0" fontId="50" fillId="0" borderId="68" xfId="0" applyFont="1" applyBorder="1" applyAlignment="1">
      <alignment wrapText="1"/>
    </xf>
    <xf numFmtId="164" fontId="50" fillId="0" borderId="63" xfId="43" applyNumberFormat="1" applyFont="1" applyFill="1" applyBorder="1" applyAlignment="1">
      <alignment horizontal="center"/>
    </xf>
    <xf numFmtId="164" fontId="50" fillId="0" borderId="67" xfId="43" applyNumberFormat="1" applyFont="1" applyFill="1" applyBorder="1" applyAlignment="1">
      <alignment horizontal="center"/>
    </xf>
    <xf numFmtId="164" fontId="50" fillId="0" borderId="71" xfId="43" applyNumberFormat="1" applyFont="1" applyFill="1" applyBorder="1" applyAlignment="1">
      <alignment horizontal="center"/>
    </xf>
    <xf numFmtId="164" fontId="50" fillId="0" borderId="75" xfId="43" applyNumberFormat="1" applyFont="1" applyFill="1" applyBorder="1" applyAlignment="1">
      <alignment horizontal="center"/>
    </xf>
    <xf numFmtId="2" fontId="50" fillId="0" borderId="63" xfId="43" applyNumberFormat="1" applyFont="1" applyFill="1" applyBorder="1" applyAlignment="1">
      <alignment horizontal="right"/>
    </xf>
    <xf numFmtId="2" fontId="50" fillId="0" borderId="67" xfId="0" applyNumberFormat="1" applyFont="1" applyBorder="1" applyAlignment="1">
      <alignment horizontal="right"/>
    </xf>
    <xf numFmtId="2" fontId="50" fillId="0" borderId="67" xfId="43" applyNumberFormat="1" applyFont="1" applyFill="1" applyBorder="1" applyAlignment="1">
      <alignment horizontal="right"/>
    </xf>
    <xf numFmtId="2" fontId="50" fillId="0" borderId="71" xfId="43" applyNumberFormat="1" applyFont="1" applyFill="1" applyBorder="1" applyAlignment="1">
      <alignment horizontal="right"/>
    </xf>
    <xf numFmtId="2" fontId="50" fillId="0" borderId="71" xfId="43" applyNumberFormat="1" applyFont="1" applyFill="1" applyBorder="1" applyAlignment="1"/>
    <xf numFmtId="0" fontId="53" fillId="46" borderId="0" xfId="0" applyFont="1" applyFill="1"/>
    <xf numFmtId="164" fontId="53" fillId="46" borderId="16" xfId="43" applyNumberFormat="1" applyFont="1" applyFill="1" applyBorder="1" applyAlignment="1">
      <alignment horizontal="center"/>
    </xf>
    <xf numFmtId="164" fontId="53" fillId="46" borderId="18" xfId="43" applyNumberFormat="1" applyFont="1" applyFill="1" applyBorder="1" applyAlignment="1">
      <alignment horizontal="center"/>
    </xf>
    <xf numFmtId="164" fontId="53" fillId="46" borderId="21" xfId="43" applyNumberFormat="1" applyFont="1" applyFill="1" applyBorder="1" applyAlignment="1">
      <alignment horizontal="center"/>
    </xf>
    <xf numFmtId="2" fontId="53" fillId="46" borderId="16" xfId="43" applyNumberFormat="1" applyFont="1" applyFill="1" applyBorder="1" applyAlignment="1">
      <alignment horizontal="right"/>
    </xf>
    <xf numFmtId="2" fontId="53" fillId="46" borderId="18" xfId="43" applyNumberFormat="1" applyFont="1" applyFill="1" applyBorder="1" applyAlignment="1">
      <alignment horizontal="right"/>
    </xf>
    <xf numFmtId="2" fontId="53" fillId="46" borderId="21" xfId="43" applyNumberFormat="1" applyFont="1" applyFill="1" applyBorder="1" applyAlignment="1">
      <alignment horizontal="right"/>
    </xf>
    <xf numFmtId="2" fontId="53" fillId="46" borderId="21" xfId="43" applyNumberFormat="1" applyFont="1" applyFill="1" applyBorder="1" applyAlignment="1"/>
    <xf numFmtId="164" fontId="50" fillId="0" borderId="63" xfId="43" applyNumberFormat="1" applyFont="1" applyFill="1" applyBorder="1" applyAlignment="1">
      <alignment horizontal="right"/>
    </xf>
    <xf numFmtId="164" fontId="50" fillId="0" borderId="67" xfId="43" applyNumberFormat="1" applyFont="1" applyFill="1" applyBorder="1" applyAlignment="1">
      <alignment horizontal="right"/>
    </xf>
    <xf numFmtId="164" fontId="50" fillId="0" borderId="71" xfId="43" applyNumberFormat="1" applyFont="1" applyFill="1" applyBorder="1" applyAlignment="1">
      <alignment horizontal="right"/>
    </xf>
    <xf numFmtId="164" fontId="50" fillId="0" borderId="75" xfId="43" applyNumberFormat="1" applyFont="1" applyFill="1" applyBorder="1" applyAlignment="1">
      <alignment horizontal="right"/>
    </xf>
    <xf numFmtId="37" fontId="53" fillId="46" borderId="18" xfId="43" applyNumberFormat="1" applyFont="1" applyFill="1" applyBorder="1" applyAlignment="1">
      <alignment horizontal="right"/>
    </xf>
    <xf numFmtId="0" fontId="50" fillId="0" borderId="80" xfId="0" applyFont="1" applyBorder="1" applyAlignment="1">
      <alignment wrapText="1"/>
    </xf>
    <xf numFmtId="0" fontId="52" fillId="0" borderId="80" xfId="0" applyFont="1" applyBorder="1" applyAlignment="1">
      <alignment wrapText="1"/>
    </xf>
    <xf numFmtId="0" fontId="50" fillId="0" borderId="90" xfId="0" applyFont="1" applyBorder="1" applyAlignment="1">
      <alignment wrapText="1"/>
    </xf>
    <xf numFmtId="2" fontId="50" fillId="0" borderId="71" xfId="43" applyNumberFormat="1" applyFont="1" applyFill="1" applyBorder="1" applyAlignment="1">
      <alignment vertical="center"/>
    </xf>
    <xf numFmtId="0" fontId="53" fillId="46" borderId="24" xfId="0" applyFont="1" applyFill="1" applyBorder="1"/>
    <xf numFmtId="164" fontId="53" fillId="46" borderId="72" xfId="43" applyNumberFormat="1" applyFont="1" applyFill="1" applyBorder="1" applyAlignment="1">
      <alignment horizontal="center"/>
    </xf>
    <xf numFmtId="164" fontId="53" fillId="46" borderId="65" xfId="43" applyNumberFormat="1" applyFont="1" applyFill="1" applyBorder="1" applyAlignment="1">
      <alignment horizontal="center"/>
    </xf>
    <xf numFmtId="164" fontId="53" fillId="46" borderId="66" xfId="43" applyNumberFormat="1" applyFont="1" applyFill="1" applyBorder="1" applyAlignment="1">
      <alignment horizontal="center"/>
    </xf>
    <xf numFmtId="164" fontId="53" fillId="46" borderId="22" xfId="43" applyNumberFormat="1" applyFont="1" applyFill="1" applyBorder="1" applyAlignment="1">
      <alignment horizontal="center"/>
    </xf>
    <xf numFmtId="2" fontId="53" fillId="46" borderId="72" xfId="43" applyNumberFormat="1" applyFont="1" applyFill="1" applyBorder="1" applyAlignment="1">
      <alignment horizontal="right"/>
    </xf>
    <xf numFmtId="2" fontId="53" fillId="46" borderId="65" xfId="43" applyNumberFormat="1" applyFont="1" applyFill="1" applyBorder="1" applyAlignment="1">
      <alignment horizontal="right"/>
    </xf>
    <xf numFmtId="2" fontId="53" fillId="46" borderId="66" xfId="43" applyNumberFormat="1" applyFont="1" applyFill="1" applyBorder="1" applyAlignment="1">
      <alignment horizontal="right"/>
    </xf>
    <xf numFmtId="2" fontId="53" fillId="46" borderId="66" xfId="43" applyNumberFormat="1" applyFont="1" applyFill="1" applyBorder="1" applyAlignment="1"/>
    <xf numFmtId="1" fontId="50" fillId="0" borderId="80" xfId="0" applyNumberFormat="1" applyFont="1" applyBorder="1" applyAlignment="1">
      <alignment wrapText="1"/>
    </xf>
    <xf numFmtId="0" fontId="50" fillId="0" borderId="80" xfId="0" applyFont="1" applyBorder="1" applyAlignment="1">
      <alignment vertical="center" wrapText="1"/>
    </xf>
    <xf numFmtId="1" fontId="50" fillId="0" borderId="90" xfId="0" applyNumberFormat="1" applyFont="1" applyBorder="1" applyAlignment="1">
      <alignment wrapText="1"/>
    </xf>
    <xf numFmtId="0" fontId="50" fillId="0" borderId="82" xfId="0" applyFont="1" applyBorder="1" applyAlignment="1">
      <alignment horizontal="left"/>
    </xf>
    <xf numFmtId="0" fontId="50" fillId="0" borderId="90" xfId="0" applyFont="1" applyBorder="1" applyAlignment="1">
      <alignment horizontal="left"/>
    </xf>
    <xf numFmtId="0" fontId="55" fillId="0" borderId="0" xfId="0" applyFont="1"/>
    <xf numFmtId="0" fontId="56" fillId="0" borderId="47"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55"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20" xfId="0" applyFont="1" applyBorder="1" applyAlignment="1">
      <alignment horizontal="center" vertical="center" wrapText="1"/>
    </xf>
    <xf numFmtId="0" fontId="55" fillId="39" borderId="49" xfId="0" applyFont="1" applyFill="1" applyBorder="1"/>
    <xf numFmtId="0" fontId="55" fillId="0" borderId="43" xfId="0" applyFont="1" applyBorder="1" applyAlignment="1">
      <alignment horizontal="left" wrapText="1"/>
    </xf>
    <xf numFmtId="0" fontId="55" fillId="0" borderId="53" xfId="0" applyFont="1" applyBorder="1" applyAlignment="1">
      <alignment horizontal="left" wrapText="1"/>
    </xf>
    <xf numFmtId="2" fontId="55" fillId="0" borderId="69" xfId="0" applyNumberFormat="1" applyFont="1" applyBorder="1" applyAlignment="1">
      <alignment horizontal="right" wrapText="1"/>
    </xf>
    <xf numFmtId="2" fontId="55" fillId="0" borderId="43" xfId="0" applyNumberFormat="1" applyFont="1" applyBorder="1" applyAlignment="1">
      <alignment horizontal="right" wrapText="1"/>
    </xf>
    <xf numFmtId="2" fontId="55" fillId="0" borderId="53" xfId="0" applyNumberFormat="1" applyFont="1" applyBorder="1" applyAlignment="1">
      <alignment horizontal="right" wrapText="1"/>
    </xf>
    <xf numFmtId="2" fontId="55" fillId="0" borderId="70" xfId="0" applyNumberFormat="1" applyFont="1" applyBorder="1" applyAlignment="1">
      <alignment horizontal="right" wrapText="1"/>
    </xf>
    <xf numFmtId="49" fontId="55" fillId="0" borderId="61" xfId="0" applyNumberFormat="1" applyFont="1" applyBorder="1" applyAlignment="1">
      <alignment horizontal="left" wrapText="1"/>
    </xf>
    <xf numFmtId="0" fontId="55" fillId="39" borderId="63" xfId="0" applyFont="1" applyFill="1" applyBorder="1"/>
    <xf numFmtId="0" fontId="55" fillId="0" borderId="67" xfId="0" applyFont="1" applyBorder="1" applyAlignment="1">
      <alignment horizontal="left" wrapText="1"/>
    </xf>
    <xf numFmtId="0" fontId="55" fillId="0" borderId="68" xfId="0" applyFont="1" applyBorder="1" applyAlignment="1">
      <alignment horizontal="left" wrapText="1"/>
    </xf>
    <xf numFmtId="2" fontId="55" fillId="0" borderId="63" xfId="0" applyNumberFormat="1" applyFont="1" applyBorder="1" applyAlignment="1">
      <alignment horizontal="right" wrapText="1"/>
    </xf>
    <xf numFmtId="2" fontId="55" fillId="0" borderId="67" xfId="0" applyNumberFormat="1" applyFont="1" applyBorder="1" applyAlignment="1">
      <alignment horizontal="right" wrapText="1"/>
    </xf>
    <xf numFmtId="2" fontId="55" fillId="0" borderId="68" xfId="0" applyNumberFormat="1" applyFont="1" applyBorder="1" applyAlignment="1">
      <alignment horizontal="right" wrapText="1"/>
    </xf>
    <xf numFmtId="2" fontId="55" fillId="0" borderId="71" xfId="0" applyNumberFormat="1" applyFont="1" applyBorder="1" applyAlignment="1">
      <alignment horizontal="right" wrapText="1"/>
    </xf>
    <xf numFmtId="49" fontId="55" fillId="0" borderId="75" xfId="0" applyNumberFormat="1" applyFont="1" applyBorder="1" applyAlignment="1">
      <alignment horizontal="left" wrapText="1"/>
    </xf>
    <xf numFmtId="2" fontId="56" fillId="46" borderId="72" xfId="0" applyNumberFormat="1" applyFont="1" applyFill="1" applyBorder="1" applyAlignment="1">
      <alignment horizontal="right"/>
    </xf>
    <xf numFmtId="2" fontId="56" fillId="46" borderId="65" xfId="0" applyNumberFormat="1" applyFont="1" applyFill="1" applyBorder="1" applyAlignment="1">
      <alignment horizontal="right"/>
    </xf>
    <xf numFmtId="2" fontId="56" fillId="46" borderId="74" xfId="0" applyNumberFormat="1" applyFont="1" applyFill="1" applyBorder="1" applyAlignment="1">
      <alignment horizontal="right"/>
    </xf>
    <xf numFmtId="2" fontId="56" fillId="46" borderId="66" xfId="0" applyNumberFormat="1" applyFont="1" applyFill="1" applyBorder="1" applyAlignment="1">
      <alignment horizontal="right"/>
    </xf>
    <xf numFmtId="2" fontId="56" fillId="46" borderId="65" xfId="0" applyNumberFormat="1" applyFont="1" applyFill="1" applyBorder="1" applyAlignment="1">
      <alignment horizontal="right" wrapText="1"/>
    </xf>
    <xf numFmtId="2" fontId="55" fillId="46" borderId="65" xfId="0" applyNumberFormat="1" applyFont="1" applyFill="1" applyBorder="1" applyAlignment="1">
      <alignment horizontal="right"/>
    </xf>
    <xf numFmtId="2" fontId="55" fillId="46" borderId="66" xfId="0" applyNumberFormat="1" applyFont="1" applyFill="1" applyBorder="1" applyAlignment="1">
      <alignment horizontal="right"/>
    </xf>
    <xf numFmtId="0" fontId="55" fillId="46" borderId="22" xfId="0" applyFont="1" applyFill="1" applyBorder="1"/>
    <xf numFmtId="0" fontId="55" fillId="0" borderId="0" xfId="0" applyFont="1" applyAlignment="1">
      <alignment vertical="center"/>
    </xf>
    <xf numFmtId="0" fontId="55" fillId="0" borderId="49" xfId="0" applyFont="1" applyBorder="1"/>
    <xf numFmtId="0" fontId="55" fillId="0" borderId="43" xfId="0" applyFont="1" applyBorder="1" applyAlignment="1">
      <alignment wrapText="1"/>
    </xf>
    <xf numFmtId="0" fontId="55" fillId="0" borderId="53" xfId="0" applyFont="1" applyBorder="1" applyAlignment="1">
      <alignment wrapText="1"/>
    </xf>
    <xf numFmtId="2" fontId="55" fillId="0" borderId="43" xfId="43" applyNumberFormat="1" applyFont="1" applyFill="1" applyBorder="1" applyAlignment="1">
      <alignment horizontal="right" wrapText="1"/>
    </xf>
    <xf numFmtId="2" fontId="55" fillId="0" borderId="53" xfId="43" applyNumberFormat="1" applyFont="1" applyFill="1" applyBorder="1" applyAlignment="1">
      <alignment horizontal="right" wrapText="1"/>
    </xf>
    <xf numFmtId="2" fontId="55" fillId="0" borderId="70" xfId="43" applyNumberFormat="1" applyFont="1" applyFill="1" applyBorder="1" applyAlignment="1">
      <alignment horizontal="right" wrapText="1"/>
    </xf>
    <xf numFmtId="49" fontId="55" fillId="0" borderId="58" xfId="0" applyNumberFormat="1" applyFont="1" applyBorder="1" applyAlignment="1">
      <alignment horizontal="left" wrapText="1"/>
    </xf>
    <xf numFmtId="0" fontId="55" fillId="0" borderId="46" xfId="0" applyFont="1" applyBorder="1"/>
    <xf numFmtId="0" fontId="55" fillId="0" borderId="34" xfId="0" applyFont="1" applyBorder="1"/>
    <xf numFmtId="0" fontId="55" fillId="0" borderId="52" xfId="0" applyFont="1" applyBorder="1"/>
    <xf numFmtId="2" fontId="55" fillId="0" borderId="38" xfId="0" applyNumberFormat="1" applyFont="1" applyBorder="1" applyAlignment="1">
      <alignment horizontal="right"/>
    </xf>
    <xf numFmtId="2" fontId="55" fillId="0" borderId="34" xfId="43" applyNumberFormat="1" applyFont="1" applyFill="1" applyBorder="1" applyAlignment="1">
      <alignment horizontal="right" wrapText="1"/>
    </xf>
    <xf numFmtId="2" fontId="55" fillId="0" borderId="52" xfId="43" applyNumberFormat="1" applyFont="1" applyFill="1" applyBorder="1" applyAlignment="1">
      <alignment horizontal="right" wrapText="1"/>
    </xf>
    <xf numFmtId="2" fontId="55" fillId="0" borderId="39" xfId="43" applyNumberFormat="1" applyFont="1" applyFill="1" applyBorder="1" applyAlignment="1">
      <alignment horizontal="right" wrapText="1"/>
    </xf>
    <xf numFmtId="2" fontId="55" fillId="0" borderId="38" xfId="43" applyNumberFormat="1" applyFont="1" applyFill="1" applyBorder="1" applyAlignment="1">
      <alignment horizontal="right" wrapText="1"/>
    </xf>
    <xf numFmtId="49" fontId="55" fillId="0" borderId="59" xfId="0" applyNumberFormat="1" applyFont="1" applyBorder="1" applyAlignment="1">
      <alignment horizontal="left"/>
    </xf>
    <xf numFmtId="0" fontId="55" fillId="0" borderId="38" xfId="0" applyFont="1" applyBorder="1"/>
    <xf numFmtId="0" fontId="55" fillId="0" borderId="63" xfId="0" applyFont="1" applyBorder="1"/>
    <xf numFmtId="0" fontId="55" fillId="0" borderId="67" xfId="0" applyFont="1" applyBorder="1"/>
    <xf numFmtId="0" fontId="55" fillId="0" borderId="68" xfId="0" applyFont="1" applyBorder="1"/>
    <xf numFmtId="2" fontId="55" fillId="0" borderId="63" xfId="0" applyNumberFormat="1" applyFont="1" applyBorder="1" applyAlignment="1">
      <alignment horizontal="right"/>
    </xf>
    <xf numFmtId="2" fontId="55" fillId="0" borderId="67" xfId="43" applyNumberFormat="1" applyFont="1" applyFill="1" applyBorder="1" applyAlignment="1">
      <alignment horizontal="right" wrapText="1"/>
    </xf>
    <xf numFmtId="2" fontId="55" fillId="0" borderId="68" xfId="43" applyNumberFormat="1" applyFont="1" applyFill="1" applyBorder="1" applyAlignment="1">
      <alignment horizontal="right" wrapText="1"/>
    </xf>
    <xf numFmtId="2" fontId="55" fillId="0" borderId="71" xfId="43" applyNumberFormat="1" applyFont="1" applyFill="1" applyBorder="1" applyAlignment="1">
      <alignment horizontal="right" wrapText="1"/>
    </xf>
    <xf numFmtId="2" fontId="55" fillId="0" borderId="63" xfId="43" applyNumberFormat="1" applyFont="1" applyFill="1" applyBorder="1" applyAlignment="1">
      <alignment horizontal="right" wrapText="1"/>
    </xf>
    <xf numFmtId="49" fontId="55" fillId="0" borderId="75" xfId="0" applyNumberFormat="1" applyFont="1" applyBorder="1" applyAlignment="1">
      <alignment horizontal="left"/>
    </xf>
    <xf numFmtId="0" fontId="55" fillId="0" borderId="34" xfId="0" applyFont="1" applyBorder="1" applyAlignment="1">
      <alignment wrapText="1"/>
    </xf>
    <xf numFmtId="49" fontId="55" fillId="0" borderId="59" xfId="0" applyNumberFormat="1" applyFont="1" applyBorder="1" applyAlignment="1">
      <alignment horizontal="left" wrapText="1"/>
    </xf>
    <xf numFmtId="0" fontId="55" fillId="0" borderId="59" xfId="0" applyFont="1" applyBorder="1" applyAlignment="1" applyProtection="1">
      <alignment wrapText="1"/>
      <protection locked="0"/>
    </xf>
    <xf numFmtId="0" fontId="55" fillId="0" borderId="67" xfId="0" applyFont="1" applyBorder="1" applyAlignment="1">
      <alignment wrapText="1"/>
    </xf>
    <xf numFmtId="2" fontId="56" fillId="46" borderId="65" xfId="43" applyNumberFormat="1" applyFont="1" applyFill="1" applyBorder="1" applyAlignment="1">
      <alignment horizontal="right" wrapText="1"/>
    </xf>
    <xf numFmtId="2" fontId="56" fillId="46" borderId="74" xfId="43" applyNumberFormat="1" applyFont="1" applyFill="1" applyBorder="1" applyAlignment="1">
      <alignment horizontal="right" wrapText="1"/>
    </xf>
    <xf numFmtId="2" fontId="56" fillId="46" borderId="66" xfId="43" applyNumberFormat="1" applyFont="1" applyFill="1" applyBorder="1" applyAlignment="1">
      <alignment horizontal="right" wrapText="1"/>
    </xf>
    <xf numFmtId="2" fontId="56" fillId="46" borderId="72" xfId="43" applyNumberFormat="1" applyFont="1" applyFill="1" applyBorder="1" applyAlignment="1">
      <alignment horizontal="right" wrapText="1"/>
    </xf>
    <xf numFmtId="49" fontId="55" fillId="46" borderId="22" xfId="0" applyNumberFormat="1" applyFont="1" applyFill="1" applyBorder="1" applyAlignment="1">
      <alignment horizontal="left" wrapText="1"/>
    </xf>
    <xf numFmtId="0" fontId="55" fillId="0" borderId="43" xfId="0" applyFont="1" applyBorder="1"/>
    <xf numFmtId="0" fontId="55" fillId="0" borderId="53" xfId="0" applyFont="1" applyBorder="1"/>
    <xf numFmtId="2" fontId="55" fillId="0" borderId="69" xfId="0" applyNumberFormat="1" applyFont="1" applyBorder="1" applyAlignment="1">
      <alignment horizontal="right"/>
    </xf>
    <xf numFmtId="2" fontId="55" fillId="0" borderId="69" xfId="43" applyNumberFormat="1" applyFont="1" applyFill="1" applyBorder="1" applyAlignment="1">
      <alignment horizontal="right" wrapText="1"/>
    </xf>
    <xf numFmtId="49" fontId="55" fillId="0" borderId="58" xfId="0" applyNumberFormat="1" applyFont="1" applyBorder="1" applyAlignment="1">
      <alignment horizontal="left"/>
    </xf>
    <xf numFmtId="0" fontId="55" fillId="0" borderId="38" xfId="0" applyFont="1" applyBorder="1" applyAlignment="1">
      <alignment vertical="center"/>
    </xf>
    <xf numFmtId="0" fontId="55" fillId="0" borderId="34" xfId="0" applyFont="1" applyBorder="1" applyAlignment="1">
      <alignment vertical="center"/>
    </xf>
    <xf numFmtId="0" fontId="55" fillId="0" borderId="52" xfId="0" applyFont="1" applyBorder="1" applyAlignment="1">
      <alignment vertical="center"/>
    </xf>
    <xf numFmtId="49" fontId="55" fillId="0" borderId="0" xfId="0" applyNumberFormat="1" applyFont="1" applyAlignment="1">
      <alignment horizontal="left" vertical="center"/>
    </xf>
    <xf numFmtId="2" fontId="56" fillId="46" borderId="16" xfId="0" applyNumberFormat="1" applyFont="1" applyFill="1" applyBorder="1" applyAlignment="1">
      <alignment horizontal="right"/>
    </xf>
    <xf numFmtId="2" fontId="56" fillId="46" borderId="18" xfId="0" applyNumberFormat="1" applyFont="1" applyFill="1" applyBorder="1" applyAlignment="1">
      <alignment horizontal="right"/>
    </xf>
    <xf numFmtId="2" fontId="56" fillId="46" borderId="19" xfId="0" applyNumberFormat="1" applyFont="1" applyFill="1" applyBorder="1" applyAlignment="1">
      <alignment horizontal="right"/>
    </xf>
    <xf numFmtId="2" fontId="56" fillId="46" borderId="21" xfId="0" applyNumberFormat="1" applyFont="1" applyFill="1" applyBorder="1" applyAlignment="1">
      <alignment horizontal="right"/>
    </xf>
    <xf numFmtId="0" fontId="55" fillId="46" borderId="13" xfId="0" applyFont="1" applyFill="1" applyBorder="1"/>
    <xf numFmtId="2" fontId="56" fillId="46" borderId="15" xfId="0" applyNumberFormat="1" applyFont="1" applyFill="1" applyBorder="1" applyAlignment="1">
      <alignment horizontal="right"/>
    </xf>
    <xf numFmtId="2" fontId="56" fillId="46" borderId="17" xfId="0" applyNumberFormat="1" applyFont="1" applyFill="1" applyBorder="1" applyAlignment="1">
      <alignment horizontal="right"/>
    </xf>
    <xf numFmtId="2" fontId="56" fillId="46" borderId="55" xfId="0" applyNumberFormat="1" applyFont="1" applyFill="1" applyBorder="1" applyAlignment="1">
      <alignment horizontal="right"/>
    </xf>
    <xf numFmtId="2" fontId="56" fillId="46" borderId="20" xfId="0" applyNumberFormat="1" applyFont="1" applyFill="1" applyBorder="1" applyAlignment="1">
      <alignment horizontal="right"/>
    </xf>
    <xf numFmtId="0" fontId="55" fillId="46" borderId="10" xfId="0" applyFont="1" applyFill="1" applyBorder="1"/>
    <xf numFmtId="0" fontId="55" fillId="0" borderId="35" xfId="0" applyFont="1" applyBorder="1"/>
    <xf numFmtId="0" fontId="55" fillId="0" borderId="36" xfId="0" applyFont="1" applyBorder="1" applyAlignment="1">
      <alignment wrapText="1"/>
    </xf>
    <xf numFmtId="0" fontId="55" fillId="0" borderId="37" xfId="0" applyFont="1" applyBorder="1"/>
    <xf numFmtId="2" fontId="55" fillId="0" borderId="35" xfId="0" applyNumberFormat="1" applyFont="1" applyBorder="1" applyAlignment="1">
      <alignment horizontal="right"/>
    </xf>
    <xf numFmtId="2" fontId="55" fillId="0" borderId="36" xfId="43" applyNumberFormat="1" applyFont="1" applyFill="1" applyBorder="1" applyAlignment="1">
      <alignment horizontal="right" wrapText="1"/>
    </xf>
    <xf numFmtId="2" fontId="55" fillId="0" borderId="57" xfId="43" applyNumberFormat="1" applyFont="1" applyFill="1" applyBorder="1" applyAlignment="1">
      <alignment horizontal="right" wrapText="1"/>
    </xf>
    <xf numFmtId="2" fontId="55" fillId="0" borderId="37" xfId="43" applyNumberFormat="1" applyFont="1" applyFill="1" applyBorder="1" applyAlignment="1">
      <alignment horizontal="right" wrapText="1"/>
    </xf>
    <xf numFmtId="2" fontId="55" fillId="0" borderId="35" xfId="43" applyNumberFormat="1" applyFont="1" applyFill="1" applyBorder="1" applyAlignment="1">
      <alignment horizontal="right" wrapText="1"/>
    </xf>
    <xf numFmtId="49" fontId="55" fillId="0" borderId="77" xfId="0" applyNumberFormat="1" applyFont="1" applyBorder="1" applyAlignment="1">
      <alignment horizontal="left" wrapText="1"/>
    </xf>
    <xf numFmtId="0" fontId="55" fillId="0" borderId="69" xfId="0" applyFont="1" applyBorder="1"/>
    <xf numFmtId="0" fontId="55" fillId="0" borderId="70" xfId="0" applyFont="1" applyBorder="1"/>
    <xf numFmtId="2" fontId="55" fillId="0" borderId="43" xfId="43" quotePrefix="1" applyNumberFormat="1" applyFont="1" applyFill="1" applyBorder="1" applyAlignment="1">
      <alignment horizontal="right" wrapText="1"/>
    </xf>
    <xf numFmtId="2" fontId="55" fillId="0" borderId="53" xfId="43" quotePrefix="1" applyNumberFormat="1" applyFont="1" applyFill="1" applyBorder="1" applyAlignment="1">
      <alignment horizontal="right" wrapText="1"/>
    </xf>
    <xf numFmtId="2" fontId="55" fillId="0" borderId="69" xfId="43" quotePrefix="1" applyNumberFormat="1" applyFont="1" applyFill="1" applyBorder="1" applyAlignment="1">
      <alignment horizontal="right" wrapText="1"/>
    </xf>
    <xf numFmtId="49" fontId="55" fillId="0" borderId="78" xfId="0" applyNumberFormat="1" applyFont="1" applyBorder="1" applyAlignment="1">
      <alignment horizontal="left" wrapText="1"/>
    </xf>
    <xf numFmtId="0" fontId="55" fillId="0" borderId="39" xfId="0" applyFont="1" applyBorder="1"/>
    <xf numFmtId="2" fontId="55" fillId="0" borderId="34" xfId="0" applyNumberFormat="1" applyFont="1" applyBorder="1" applyAlignment="1">
      <alignment horizontal="right" wrapText="1"/>
    </xf>
    <xf numFmtId="2" fontId="55" fillId="0" borderId="52" xfId="43" quotePrefix="1" applyNumberFormat="1" applyFont="1" applyFill="1" applyBorder="1" applyAlignment="1">
      <alignment horizontal="right" wrapText="1"/>
    </xf>
    <xf numFmtId="2" fontId="55" fillId="0" borderId="38" xfId="0" applyNumberFormat="1" applyFont="1" applyBorder="1" applyAlignment="1">
      <alignment horizontal="right" wrapText="1"/>
    </xf>
    <xf numFmtId="2" fontId="55" fillId="0" borderId="39" xfId="0" applyNumberFormat="1" applyFont="1" applyBorder="1" applyAlignment="1">
      <alignment horizontal="right" wrapText="1"/>
    </xf>
    <xf numFmtId="0" fontId="55" fillId="0" borderId="38" xfId="0" applyFont="1" applyBorder="1" applyAlignment="1">
      <alignment wrapText="1"/>
    </xf>
    <xf numFmtId="2" fontId="55" fillId="0" borderId="34" xfId="43" quotePrefix="1" applyNumberFormat="1" applyFont="1" applyFill="1" applyBorder="1" applyAlignment="1">
      <alignment horizontal="right" wrapText="1"/>
    </xf>
    <xf numFmtId="2" fontId="55" fillId="0" borderId="38" xfId="43" quotePrefix="1" applyNumberFormat="1" applyFont="1" applyFill="1" applyBorder="1" applyAlignment="1">
      <alignment horizontal="right" wrapText="1"/>
    </xf>
    <xf numFmtId="0" fontId="55" fillId="0" borderId="71" xfId="0" applyFont="1" applyBorder="1"/>
    <xf numFmtId="2" fontId="55" fillId="0" borderId="67" xfId="43" quotePrefix="1" applyNumberFormat="1" applyFont="1" applyFill="1" applyBorder="1" applyAlignment="1">
      <alignment horizontal="right" wrapText="1"/>
    </xf>
    <xf numFmtId="49" fontId="55" fillId="0" borderId="79" xfId="0" applyNumberFormat="1" applyFont="1" applyBorder="1" applyAlignment="1">
      <alignment horizontal="left" wrapText="1"/>
    </xf>
    <xf numFmtId="0" fontId="55" fillId="46" borderId="30" xfId="0" applyFont="1" applyFill="1" applyBorder="1"/>
    <xf numFmtId="0" fontId="55" fillId="0" borderId="57" xfId="0" applyFont="1" applyBorder="1"/>
    <xf numFmtId="2" fontId="56" fillId="46" borderId="65" xfId="43" quotePrefix="1" applyNumberFormat="1" applyFont="1" applyFill="1" applyBorder="1" applyAlignment="1">
      <alignment horizontal="right" wrapText="1"/>
    </xf>
    <xf numFmtId="2" fontId="56" fillId="46" borderId="66" xfId="0" applyNumberFormat="1" applyFont="1" applyFill="1" applyBorder="1" applyAlignment="1">
      <alignment horizontal="right" wrapText="1"/>
    </xf>
    <xf numFmtId="2" fontId="56" fillId="46" borderId="72" xfId="0" applyNumberFormat="1" applyFont="1" applyFill="1" applyBorder="1" applyAlignment="1">
      <alignment horizontal="right" wrapText="1"/>
    </xf>
    <xf numFmtId="49" fontId="55" fillId="46" borderId="30" xfId="0" applyNumberFormat="1" applyFont="1" applyFill="1" applyBorder="1" applyAlignment="1">
      <alignment horizontal="left" wrapText="1"/>
    </xf>
    <xf numFmtId="1" fontId="55" fillId="0" borderId="35" xfId="0" applyNumberFormat="1" applyFont="1" applyBorder="1"/>
    <xf numFmtId="1" fontId="55" fillId="0" borderId="36" xfId="0" applyNumberFormat="1" applyFont="1" applyBorder="1"/>
    <xf numFmtId="1" fontId="55" fillId="0" borderId="37" xfId="0" applyNumberFormat="1" applyFont="1" applyBorder="1"/>
    <xf numFmtId="2" fontId="55" fillId="0" borderId="36" xfId="0" applyNumberFormat="1" applyFont="1" applyBorder="1" applyAlignment="1">
      <alignment horizontal="right"/>
    </xf>
    <xf numFmtId="2" fontId="55" fillId="0" borderId="57" xfId="0" applyNumberFormat="1" applyFont="1" applyBorder="1" applyAlignment="1">
      <alignment horizontal="right"/>
    </xf>
    <xf numFmtId="2" fontId="55" fillId="0" borderId="37" xfId="0" applyNumberFormat="1" applyFont="1" applyBorder="1" applyAlignment="1">
      <alignment horizontal="right"/>
    </xf>
    <xf numFmtId="1" fontId="55" fillId="0" borderId="38" xfId="0" applyNumberFormat="1" applyFont="1" applyBorder="1"/>
    <xf numFmtId="1" fontId="55" fillId="0" borderId="34" xfId="0" applyNumberFormat="1" applyFont="1" applyBorder="1"/>
    <xf numFmtId="1" fontId="55" fillId="0" borderId="39" xfId="0" applyNumberFormat="1" applyFont="1" applyBorder="1"/>
    <xf numFmtId="2" fontId="55" fillId="0" borderId="34" xfId="0" applyNumberFormat="1" applyFont="1" applyBorder="1" applyAlignment="1">
      <alignment horizontal="right"/>
    </xf>
    <xf numFmtId="2" fontId="55" fillId="0" borderId="52" xfId="0" applyNumberFormat="1" applyFont="1" applyBorder="1" applyAlignment="1">
      <alignment horizontal="right"/>
    </xf>
    <xf numFmtId="2" fontId="55" fillId="0" borderId="39" xfId="0" applyNumberFormat="1" applyFont="1" applyBorder="1" applyAlignment="1">
      <alignment horizontal="right"/>
    </xf>
    <xf numFmtId="1" fontId="55" fillId="0" borderId="63" xfId="0" applyNumberFormat="1" applyFont="1" applyBorder="1"/>
    <xf numFmtId="1" fontId="55" fillId="0" borderId="67" xfId="0" applyNumberFormat="1" applyFont="1" applyBorder="1"/>
    <xf numFmtId="1" fontId="55" fillId="0" borderId="71" xfId="0" applyNumberFormat="1" applyFont="1" applyBorder="1"/>
    <xf numFmtId="2" fontId="55" fillId="0" borderId="67" xfId="0" applyNumberFormat="1" applyFont="1" applyBorder="1" applyAlignment="1">
      <alignment horizontal="right"/>
    </xf>
    <xf numFmtId="2" fontId="55" fillId="0" borderId="71" xfId="0" applyNumberFormat="1" applyFont="1" applyBorder="1" applyAlignment="1">
      <alignment horizontal="right"/>
    </xf>
    <xf numFmtId="0" fontId="55" fillId="0" borderId="36" xfId="0" applyFont="1" applyBorder="1"/>
    <xf numFmtId="2" fontId="56" fillId="46" borderId="25" xfId="0" applyNumberFormat="1" applyFont="1" applyFill="1" applyBorder="1" applyAlignment="1">
      <alignment horizontal="right"/>
    </xf>
    <xf numFmtId="2" fontId="56" fillId="46" borderId="32" xfId="0" applyNumberFormat="1" applyFont="1" applyFill="1" applyBorder="1" applyAlignment="1">
      <alignment horizontal="right"/>
    </xf>
    <xf numFmtId="2" fontId="56" fillId="46" borderId="33" xfId="0" applyNumberFormat="1" applyFont="1" applyFill="1" applyBorder="1" applyAlignment="1">
      <alignment horizontal="right"/>
    </xf>
    <xf numFmtId="2" fontId="56" fillId="46" borderId="26" xfId="0" applyNumberFormat="1" applyFont="1" applyFill="1" applyBorder="1" applyAlignment="1">
      <alignment horizontal="right"/>
    </xf>
    <xf numFmtId="0" fontId="55" fillId="0" borderId="11" xfId="0" applyFont="1" applyBorder="1"/>
    <xf numFmtId="2" fontId="56" fillId="46" borderId="38" xfId="0" applyNumberFormat="1" applyFont="1" applyFill="1" applyBorder="1" applyAlignment="1">
      <alignment horizontal="right"/>
    </xf>
    <xf numFmtId="2" fontId="56" fillId="46" borderId="34" xfId="0" applyNumberFormat="1" applyFont="1" applyFill="1" applyBorder="1" applyAlignment="1">
      <alignment horizontal="right"/>
    </xf>
    <xf numFmtId="2" fontId="56" fillId="46" borderId="52" xfId="0" applyNumberFormat="1" applyFont="1" applyFill="1" applyBorder="1" applyAlignment="1">
      <alignment horizontal="right"/>
    </xf>
    <xf numFmtId="2" fontId="56" fillId="46" borderId="39" xfId="0" applyNumberFormat="1" applyFont="1" applyFill="1" applyBorder="1" applyAlignment="1">
      <alignment horizontal="right"/>
    </xf>
    <xf numFmtId="0" fontId="56" fillId="0" borderId="0" xfId="0" applyFont="1" applyAlignment="1">
      <alignment horizontal="center"/>
    </xf>
    <xf numFmtId="2" fontId="56" fillId="0" borderId="0" xfId="0" applyNumberFormat="1" applyFont="1" applyAlignment="1">
      <alignment horizontal="right"/>
    </xf>
    <xf numFmtId="0" fontId="55" fillId="0" borderId="0" xfId="0" applyFont="1" applyAlignment="1">
      <alignment vertical="center" wrapText="1"/>
    </xf>
    <xf numFmtId="0" fontId="56" fillId="0" borderId="20" xfId="0" applyFont="1" applyBorder="1" applyAlignment="1">
      <alignment horizontal="center"/>
    </xf>
    <xf numFmtId="0" fontId="55" fillId="0" borderId="0" xfId="0" applyFont="1" applyAlignment="1">
      <alignment horizontal="center"/>
    </xf>
    <xf numFmtId="49" fontId="55" fillId="0" borderId="0" xfId="0" applyNumberFormat="1" applyFont="1"/>
    <xf numFmtId="2" fontId="55" fillId="0" borderId="70" xfId="0" applyNumberFormat="1" applyFont="1" applyBorder="1"/>
    <xf numFmtId="9" fontId="55" fillId="0" borderId="70" xfId="57" applyFont="1" applyBorder="1"/>
    <xf numFmtId="2" fontId="55" fillId="0" borderId="39" xfId="0" applyNumberFormat="1" applyFont="1" applyBorder="1"/>
    <xf numFmtId="9" fontId="55" fillId="0" borderId="39" xfId="57" applyFont="1" applyBorder="1"/>
    <xf numFmtId="0" fontId="56" fillId="0" borderId="0" xfId="0" applyFont="1" applyAlignment="1">
      <alignment vertical="center" wrapText="1"/>
    </xf>
    <xf numFmtId="9" fontId="55" fillId="0" borderId="71" xfId="57" applyFont="1" applyBorder="1"/>
    <xf numFmtId="2" fontId="55" fillId="0" borderId="42" xfId="0" applyNumberFormat="1" applyFont="1" applyBorder="1"/>
    <xf numFmtId="9" fontId="56" fillId="0" borderId="66" xfId="0" applyNumberFormat="1" applyFont="1" applyBorder="1"/>
    <xf numFmtId="0" fontId="57" fillId="0" borderId="0" xfId="0" applyFont="1"/>
    <xf numFmtId="0" fontId="58" fillId="0" borderId="0" xfId="0" applyFont="1"/>
    <xf numFmtId="1" fontId="50" fillId="0" borderId="88" xfId="0" applyNumberFormat="1" applyFont="1" applyBorder="1" applyAlignment="1">
      <alignment wrapText="1"/>
    </xf>
    <xf numFmtId="2" fontId="54" fillId="0" borderId="0" xfId="0" applyNumberFormat="1" applyFont="1" applyAlignment="1">
      <alignment horizontal="center"/>
    </xf>
    <xf numFmtId="0" fontId="60" fillId="0" borderId="20" xfId="0" applyFont="1" applyBorder="1" applyAlignment="1">
      <alignment horizontal="center"/>
    </xf>
    <xf numFmtId="9" fontId="59" fillId="0" borderId="70" xfId="57" applyFont="1" applyBorder="1" applyAlignment="1">
      <alignment horizontal="right"/>
    </xf>
    <xf numFmtId="9" fontId="59" fillId="0" borderId="39" xfId="57" applyFont="1" applyBorder="1" applyAlignment="1">
      <alignment horizontal="right"/>
    </xf>
    <xf numFmtId="9" fontId="59" fillId="0" borderId="87" xfId="57" applyFont="1" applyBorder="1" applyAlignment="1">
      <alignment horizontal="right"/>
    </xf>
    <xf numFmtId="0" fontId="60" fillId="0" borderId="47" xfId="0" applyFont="1" applyBorder="1" applyAlignment="1">
      <alignment horizontal="center"/>
    </xf>
    <xf numFmtId="2" fontId="59" fillId="0" borderId="49" xfId="0" applyNumberFormat="1" applyFont="1" applyBorder="1" applyAlignment="1">
      <alignment horizontal="right"/>
    </xf>
    <xf numFmtId="2" fontId="59" fillId="0" borderId="46" xfId="0" applyNumberFormat="1" applyFont="1" applyBorder="1" applyAlignment="1">
      <alignment horizontal="right"/>
    </xf>
    <xf numFmtId="2" fontId="59" fillId="0" borderId="48" xfId="0" applyNumberFormat="1" applyFont="1" applyBorder="1" applyAlignment="1">
      <alignment horizontal="right"/>
    </xf>
    <xf numFmtId="2" fontId="59" fillId="0" borderId="77" xfId="0" applyNumberFormat="1" applyFont="1" applyBorder="1" applyAlignment="1">
      <alignment horizontal="right"/>
    </xf>
    <xf numFmtId="9" fontId="59" fillId="0" borderId="91" xfId="57" applyFont="1" applyBorder="1" applyAlignment="1">
      <alignment horizontal="right"/>
    </xf>
    <xf numFmtId="0" fontId="56" fillId="0" borderId="47" xfId="0" applyFont="1" applyBorder="1" applyAlignment="1">
      <alignment horizontal="center"/>
    </xf>
    <xf numFmtId="2" fontId="55" fillId="0" borderId="49" xfId="0" applyNumberFormat="1" applyFont="1" applyBorder="1"/>
    <xf numFmtId="2" fontId="55" fillId="0" borderId="46" xfId="0" applyNumberFormat="1" applyFont="1" applyBorder="1"/>
    <xf numFmtId="2" fontId="55" fillId="0" borderId="92" xfId="0" applyNumberFormat="1" applyFont="1" applyBorder="1"/>
    <xf numFmtId="2" fontId="56" fillId="0" borderId="64" xfId="0" applyNumberFormat="1" applyFont="1" applyBorder="1"/>
    <xf numFmtId="0" fontId="56" fillId="0" borderId="10" xfId="0" applyFont="1" applyBorder="1" applyAlignment="1">
      <alignment horizontal="center"/>
    </xf>
    <xf numFmtId="0" fontId="55" fillId="0" borderId="61" xfId="0" applyFont="1" applyBorder="1" applyAlignment="1">
      <alignment horizontal="center"/>
    </xf>
    <xf numFmtId="0" fontId="55" fillId="0" borderId="59" xfId="0" applyFont="1" applyBorder="1" applyAlignment="1">
      <alignment horizontal="center"/>
    </xf>
    <xf numFmtId="0" fontId="55" fillId="0" borderId="75" xfId="0" applyFont="1" applyBorder="1" applyAlignment="1">
      <alignment horizontal="center"/>
    </xf>
    <xf numFmtId="0" fontId="56" fillId="0" borderId="22" xfId="0" applyFont="1" applyBorder="1" applyAlignment="1">
      <alignment horizontal="center"/>
    </xf>
    <xf numFmtId="0" fontId="61" fillId="0" borderId="0" xfId="0" applyFont="1"/>
    <xf numFmtId="0" fontId="0" fillId="0" borderId="85" xfId="0" applyBorder="1" applyAlignment="1">
      <alignment horizontal="left" wrapText="1"/>
    </xf>
    <xf numFmtId="0" fontId="0" fillId="0" borderId="0" xfId="0" applyAlignment="1">
      <alignment vertical="center"/>
    </xf>
    <xf numFmtId="0" fontId="0" fillId="0" borderId="0" xfId="0" applyAlignment="1">
      <alignment horizontal="left" wrapText="1"/>
    </xf>
    <xf numFmtId="0" fontId="0" fillId="0" borderId="0" xfId="0" applyAlignment="1">
      <alignment wrapText="1"/>
    </xf>
    <xf numFmtId="0" fontId="56" fillId="0" borderId="15" xfId="0" applyFont="1" applyBorder="1" applyAlignment="1">
      <alignment horizontal="center"/>
    </xf>
    <xf numFmtId="0" fontId="56" fillId="0" borderId="17" xfId="0" applyFont="1" applyBorder="1" applyAlignment="1">
      <alignment horizontal="center"/>
    </xf>
    <xf numFmtId="0" fontId="56" fillId="0" borderId="20" xfId="0" applyFont="1" applyBorder="1" applyAlignment="1">
      <alignment horizontal="center"/>
    </xf>
    <xf numFmtId="0" fontId="56" fillId="0" borderId="4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62" xfId="0" applyFont="1" applyBorder="1" applyAlignment="1">
      <alignment horizontal="center"/>
    </xf>
    <xf numFmtId="0" fontId="56" fillId="0" borderId="14" xfId="0" applyFont="1" applyBorder="1" applyAlignment="1">
      <alignment horizontal="center"/>
    </xf>
    <xf numFmtId="0" fontId="56" fillId="0" borderId="73" xfId="0" applyFont="1" applyBorder="1" applyAlignment="1">
      <alignment horizontal="center"/>
    </xf>
    <xf numFmtId="0" fontId="56" fillId="46" borderId="23" xfId="0" applyFont="1" applyFill="1" applyBorder="1" applyAlignment="1">
      <alignment horizontal="center"/>
    </xf>
    <xf numFmtId="0" fontId="56" fillId="46" borderId="24" xfId="0" applyFont="1" applyFill="1" applyBorder="1" applyAlignment="1">
      <alignment horizontal="center"/>
    </xf>
    <xf numFmtId="0" fontId="56" fillId="46" borderId="30" xfId="0" applyFont="1" applyFill="1" applyBorder="1" applyAlignment="1">
      <alignment horizontal="center"/>
    </xf>
    <xf numFmtId="0" fontId="56" fillId="0" borderId="82" xfId="0" applyFont="1" applyBorder="1" applyAlignment="1">
      <alignment horizontal="center" vertical="center" wrapText="1"/>
    </xf>
    <xf numFmtId="0" fontId="56" fillId="0" borderId="80" xfId="0" applyFont="1" applyBorder="1" applyAlignment="1">
      <alignment horizontal="center" vertical="center" wrapText="1"/>
    </xf>
    <xf numFmtId="0" fontId="56" fillId="0" borderId="81" xfId="0" applyFont="1" applyBorder="1" applyAlignment="1">
      <alignment horizontal="center" vertical="center" wrapText="1"/>
    </xf>
    <xf numFmtId="0" fontId="56" fillId="46" borderId="23" xfId="0" applyFont="1" applyFill="1" applyBorder="1" applyAlignment="1">
      <alignment horizontal="center" vertical="center"/>
    </xf>
    <xf numFmtId="0" fontId="56" fillId="46" borderId="24" xfId="0" applyFont="1" applyFill="1" applyBorder="1" applyAlignment="1">
      <alignment horizontal="center" vertical="center"/>
    </xf>
    <xf numFmtId="0" fontId="56" fillId="0" borderId="61" xfId="0" applyFont="1" applyBorder="1" applyAlignment="1">
      <alignment horizontal="center" vertical="center" wrapText="1"/>
    </xf>
    <xf numFmtId="0" fontId="56" fillId="0" borderId="59" xfId="0" applyFont="1" applyBorder="1" applyAlignment="1">
      <alignment horizontal="center" vertical="center" wrapText="1"/>
    </xf>
    <xf numFmtId="0" fontId="56" fillId="0" borderId="60" xfId="0" applyFont="1" applyBorder="1" applyAlignment="1">
      <alignment horizontal="center" vertical="center" wrapText="1"/>
    </xf>
    <xf numFmtId="0" fontId="56" fillId="0" borderId="58" xfId="0" applyFont="1" applyBorder="1" applyAlignment="1">
      <alignment horizontal="center" vertical="center" wrapText="1"/>
    </xf>
    <xf numFmtId="0" fontId="56" fillId="0" borderId="76" xfId="0" applyFont="1" applyBorder="1" applyAlignment="1">
      <alignment horizontal="center" vertical="center" wrapText="1"/>
    </xf>
    <xf numFmtId="0" fontId="56" fillId="46" borderId="11" xfId="0" applyFont="1" applyFill="1" applyBorder="1" applyAlignment="1">
      <alignment horizontal="center"/>
    </xf>
    <xf numFmtId="0" fontId="56" fillId="46" borderId="0" xfId="0" applyFont="1" applyFill="1" applyAlignment="1">
      <alignment horizontal="center"/>
    </xf>
    <xf numFmtId="0" fontId="56" fillId="46" borderId="12" xfId="0" applyFont="1" applyFill="1" applyBorder="1" applyAlignment="1">
      <alignment horizontal="center"/>
    </xf>
    <xf numFmtId="0" fontId="56" fillId="46" borderId="62" xfId="0" applyFont="1" applyFill="1" applyBorder="1" applyAlignment="1">
      <alignment horizontal="center"/>
    </xf>
    <xf numFmtId="0" fontId="56" fillId="46" borderId="14" xfId="0" applyFont="1" applyFill="1" applyBorder="1" applyAlignment="1">
      <alignment horizontal="center"/>
    </xf>
    <xf numFmtId="0" fontId="56" fillId="46" borderId="73" xfId="0" applyFont="1" applyFill="1" applyBorder="1" applyAlignment="1">
      <alignment horizontal="center"/>
    </xf>
    <xf numFmtId="0" fontId="55" fillId="0" borderId="40" xfId="0" applyFont="1" applyBorder="1" applyAlignment="1">
      <alignment horizontal="center"/>
    </xf>
    <xf numFmtId="0" fontId="55" fillId="0" borderId="41" xfId="0" applyFont="1" applyBorder="1" applyAlignment="1">
      <alignment horizontal="center"/>
    </xf>
    <xf numFmtId="0" fontId="55" fillId="0" borderId="38" xfId="0" applyFont="1" applyBorder="1" applyAlignment="1">
      <alignment horizontal="center" wrapText="1"/>
    </xf>
    <xf numFmtId="0" fontId="55" fillId="0" borderId="34" xfId="0" applyFont="1" applyBorder="1" applyAlignment="1">
      <alignment horizontal="center" wrapText="1"/>
    </xf>
    <xf numFmtId="0" fontId="55" fillId="0" borderId="69" xfId="0" applyFont="1" applyBorder="1" applyAlignment="1">
      <alignment horizontal="center"/>
    </xf>
    <xf numFmtId="0" fontId="55" fillId="0" borderId="43" xfId="0" applyFont="1" applyBorder="1" applyAlignment="1">
      <alignment horizontal="center"/>
    </xf>
    <xf numFmtId="0" fontId="56" fillId="46" borderId="62" xfId="0" applyFont="1" applyFill="1" applyBorder="1" applyAlignment="1">
      <alignment horizontal="center" vertical="center" wrapText="1"/>
    </xf>
    <xf numFmtId="0" fontId="56" fillId="46" borderId="14" xfId="0" applyFont="1" applyFill="1" applyBorder="1" applyAlignment="1">
      <alignment horizontal="center" vertical="center" wrapText="1"/>
    </xf>
    <xf numFmtId="0" fontId="56" fillId="46" borderId="73" xfId="0" applyFont="1" applyFill="1" applyBorder="1" applyAlignment="1">
      <alignment horizontal="center" vertical="center" wrapText="1"/>
    </xf>
    <xf numFmtId="0" fontId="56" fillId="0" borderId="83" xfId="0" applyFont="1" applyBorder="1" applyAlignment="1">
      <alignment horizontal="center" vertical="center" wrapText="1"/>
    </xf>
    <xf numFmtId="0" fontId="56" fillId="46" borderId="80" xfId="0" applyFont="1" applyFill="1" applyBorder="1" applyAlignment="1">
      <alignment horizontal="center"/>
    </xf>
    <xf numFmtId="0" fontId="56" fillId="46" borderId="54" xfId="0" applyFont="1" applyFill="1" applyBorder="1" applyAlignment="1">
      <alignment horizontal="center"/>
    </xf>
    <xf numFmtId="0" fontId="56" fillId="46" borderId="78" xfId="0" applyFont="1" applyFill="1" applyBorder="1" applyAlignment="1">
      <alignment horizontal="center"/>
    </xf>
    <xf numFmtId="0" fontId="56" fillId="46" borderId="27" xfId="0" applyFont="1" applyFill="1" applyBorder="1" applyAlignment="1">
      <alignment horizontal="center"/>
    </xf>
    <xf numFmtId="0" fontId="56" fillId="46" borderId="28" xfId="0" applyFont="1" applyFill="1" applyBorder="1" applyAlignment="1">
      <alignment horizontal="center"/>
    </xf>
    <xf numFmtId="0" fontId="56" fillId="46" borderId="29" xfId="0" applyFont="1" applyFill="1" applyBorder="1" applyAlignment="1">
      <alignment horizontal="center"/>
    </xf>
    <xf numFmtId="0" fontId="55" fillId="0" borderId="38" xfId="0" applyFont="1" applyBorder="1" applyAlignment="1">
      <alignment horizontal="center"/>
    </xf>
    <xf numFmtId="0" fontId="55" fillId="0" borderId="34" xfId="0" applyFont="1" applyBorder="1" applyAlignment="1">
      <alignment horizontal="center"/>
    </xf>
    <xf numFmtId="0" fontId="62" fillId="0" borderId="0" xfId="0" applyFont="1" applyAlignment="1">
      <alignment horizontal="left" wrapText="1"/>
    </xf>
    <xf numFmtId="0" fontId="51" fillId="0" borderId="58" xfId="0" applyFont="1" applyBorder="1" applyAlignment="1">
      <alignment horizontal="center" vertical="center" wrapText="1"/>
    </xf>
    <xf numFmtId="0" fontId="51" fillId="0" borderId="59" xfId="0" applyFont="1" applyBorder="1" applyAlignment="1">
      <alignment horizontal="center" vertical="center" wrapText="1"/>
    </xf>
    <xf numFmtId="0" fontId="51" fillId="0" borderId="60" xfId="0" applyFont="1" applyBorder="1" applyAlignment="1">
      <alignment horizontal="center" vertical="center" wrapText="1"/>
    </xf>
    <xf numFmtId="0" fontId="51" fillId="0" borderId="76" xfId="0" applyFont="1" applyBorder="1" applyAlignment="1">
      <alignment horizontal="center" vertical="center" wrapText="1"/>
    </xf>
    <xf numFmtId="0" fontId="51" fillId="46" borderId="62" xfId="0" applyFont="1" applyFill="1" applyBorder="1" applyAlignment="1">
      <alignment horizontal="center" vertical="center" wrapText="1"/>
    </xf>
    <xf numFmtId="0" fontId="51" fillId="46" borderId="14" xfId="0" applyFont="1" applyFill="1" applyBorder="1" applyAlignment="1">
      <alignment horizontal="center" vertical="center" wrapText="1"/>
    </xf>
    <xf numFmtId="0" fontId="51" fillId="0" borderId="82" xfId="0" applyFont="1" applyBorder="1" applyAlignment="1">
      <alignment horizontal="center" vertical="center" wrapText="1"/>
    </xf>
    <xf numFmtId="0" fontId="51" fillId="0" borderId="80" xfId="0" applyFont="1" applyBorder="1" applyAlignment="1">
      <alignment horizontal="center" vertical="center" wrapText="1"/>
    </xf>
    <xf numFmtId="0" fontId="51" fillId="0" borderId="81" xfId="0" applyFont="1" applyBorder="1" applyAlignment="1">
      <alignment horizontal="center" vertical="center" wrapText="1"/>
    </xf>
    <xf numFmtId="0" fontId="51" fillId="46" borderId="80" xfId="0" applyFont="1" applyFill="1" applyBorder="1" applyAlignment="1">
      <alignment horizontal="center"/>
    </xf>
    <xf numFmtId="0" fontId="51" fillId="46" borderId="46" xfId="0" applyFont="1" applyFill="1" applyBorder="1" applyAlignment="1">
      <alignment horizontal="center"/>
    </xf>
    <xf numFmtId="0" fontId="51" fillId="46" borderId="23" xfId="0" applyFont="1" applyFill="1" applyBorder="1" applyAlignment="1">
      <alignment horizontal="center"/>
    </xf>
    <xf numFmtId="0" fontId="51" fillId="46" borderId="64" xfId="0" applyFont="1" applyFill="1" applyBorder="1" applyAlignment="1">
      <alignment horizontal="center"/>
    </xf>
    <xf numFmtId="0" fontId="51" fillId="46" borderId="62" xfId="0" applyFont="1" applyFill="1" applyBorder="1" applyAlignment="1">
      <alignment horizontal="center"/>
    </xf>
    <xf numFmtId="0" fontId="51" fillId="46" borderId="14" xfId="0" applyFont="1" applyFill="1" applyBorder="1" applyAlignment="1">
      <alignment horizontal="center"/>
    </xf>
    <xf numFmtId="0" fontId="51" fillId="0" borderId="44"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14" xfId="0" applyFont="1" applyBorder="1" applyAlignment="1">
      <alignment horizontal="center"/>
    </xf>
    <xf numFmtId="0" fontId="51" fillId="0" borderId="73" xfId="0" applyFont="1" applyBorder="1" applyAlignment="1">
      <alignment horizontal="center"/>
    </xf>
    <xf numFmtId="0" fontId="51" fillId="0" borderId="61" xfId="0" applyFont="1" applyBorder="1" applyAlignment="1">
      <alignment horizontal="center" vertical="center" wrapText="1"/>
    </xf>
    <xf numFmtId="0" fontId="51" fillId="46" borderId="27" xfId="0" applyFont="1" applyFill="1" applyBorder="1" applyAlignment="1">
      <alignment horizontal="center"/>
    </xf>
    <xf numFmtId="0" fontId="51" fillId="46" borderId="45" xfId="0" applyFont="1" applyFill="1" applyBorder="1" applyAlignment="1">
      <alignment horizontal="center"/>
    </xf>
    <xf numFmtId="0" fontId="51" fillId="0" borderId="83" xfId="0" applyFont="1" applyBorder="1" applyAlignment="1">
      <alignment horizontal="center" vertical="center" wrapText="1"/>
    </xf>
    <xf numFmtId="0" fontId="51" fillId="0" borderId="84" xfId="0" applyFont="1" applyBorder="1" applyAlignment="1">
      <alignment horizontal="center" vertical="center" wrapText="1"/>
    </xf>
    <xf numFmtId="0" fontId="59" fillId="0" borderId="40" xfId="0" applyFont="1" applyBorder="1" applyAlignment="1">
      <alignment horizontal="center"/>
    </xf>
    <xf numFmtId="0" fontId="59" fillId="0" borderId="41" xfId="0" applyFont="1" applyBorder="1" applyAlignment="1">
      <alignment horizontal="center"/>
    </xf>
    <xf numFmtId="0" fontId="59" fillId="0" borderId="42" xfId="0" applyFont="1" applyBorder="1" applyAlignment="1">
      <alignment horizontal="center"/>
    </xf>
    <xf numFmtId="0" fontId="59" fillId="0" borderId="69" xfId="0" applyFont="1" applyBorder="1" applyAlignment="1">
      <alignment horizontal="center"/>
    </xf>
    <xf numFmtId="0" fontId="59" fillId="0" borderId="70" xfId="0" applyFont="1" applyBorder="1" applyAlignment="1">
      <alignment horizontal="center"/>
    </xf>
    <xf numFmtId="0" fontId="59" fillId="0" borderId="38" xfId="0" applyFont="1" applyBorder="1" applyAlignment="1">
      <alignment horizontal="center"/>
    </xf>
    <xf numFmtId="0" fontId="59" fillId="0" borderId="39" xfId="0" applyFont="1" applyBorder="1" applyAlignment="1">
      <alignment horizontal="center"/>
    </xf>
    <xf numFmtId="0" fontId="60" fillId="0" borderId="15" xfId="0" applyFont="1" applyBorder="1" applyAlignment="1">
      <alignment horizontal="center"/>
    </xf>
    <xf numFmtId="0" fontId="60" fillId="0" borderId="20" xfId="0" applyFont="1" applyBorder="1" applyAlignment="1">
      <alignment horizontal="center"/>
    </xf>
    <xf numFmtId="0" fontId="59" fillId="0" borderId="35" xfId="0" applyFont="1" applyBorder="1" applyAlignment="1">
      <alignment horizontal="center"/>
    </xf>
    <xf numFmtId="0" fontId="59" fillId="0" borderId="36" xfId="0" applyFont="1" applyBorder="1" applyAlignment="1">
      <alignment horizontal="center"/>
    </xf>
    <xf numFmtId="0" fontId="59" fillId="0" borderId="37" xfId="0" applyFont="1" applyBorder="1" applyAlignment="1">
      <alignment horizontal="center"/>
    </xf>
    <xf numFmtId="0" fontId="53" fillId="0" borderId="62" xfId="0" applyFont="1" applyBorder="1" applyAlignment="1">
      <alignment horizontal="center"/>
    </xf>
    <xf numFmtId="0" fontId="53" fillId="0" borderId="14" xfId="0" applyFont="1" applyBorder="1" applyAlignment="1">
      <alignment horizontal="center"/>
    </xf>
    <xf numFmtId="0" fontId="53" fillId="0" borderId="73" xfId="0" applyFont="1" applyBorder="1" applyAlignment="1">
      <alignment horizontal="center"/>
    </xf>
    <xf numFmtId="0" fontId="53" fillId="0" borderId="27" xfId="0" applyFont="1" applyBorder="1" applyAlignment="1">
      <alignment horizontal="center" wrapText="1"/>
    </xf>
    <xf numFmtId="0" fontId="53" fillId="0" borderId="28" xfId="0" applyFont="1" applyBorder="1" applyAlignment="1">
      <alignment horizontal="center" wrapText="1"/>
    </xf>
    <xf numFmtId="0" fontId="53" fillId="0" borderId="29" xfId="0" applyFont="1" applyBorder="1" applyAlignment="1">
      <alignment horizontal="center" wrapText="1"/>
    </xf>
    <xf numFmtId="0" fontId="53" fillId="46" borderId="35" xfId="0" applyFont="1" applyFill="1" applyBorder="1" applyAlignment="1">
      <alignment horizontal="center"/>
    </xf>
    <xf numFmtId="0" fontId="53" fillId="46" borderId="57" xfId="0" applyFont="1" applyFill="1" applyBorder="1" applyAlignment="1">
      <alignment horizontal="center"/>
    </xf>
    <xf numFmtId="0" fontId="53" fillId="46" borderId="38" xfId="0" applyFont="1" applyFill="1" applyBorder="1" applyAlignment="1">
      <alignment horizontal="center"/>
    </xf>
    <xf numFmtId="0" fontId="53" fillId="46" borderId="52" xfId="0" applyFont="1" applyFill="1" applyBorder="1" applyAlignment="1">
      <alignment horizontal="center"/>
    </xf>
    <xf numFmtId="0" fontId="53" fillId="0" borderId="17" xfId="0" applyFont="1" applyBorder="1" applyAlignment="1">
      <alignment horizontal="center"/>
    </xf>
    <xf numFmtId="0" fontId="53" fillId="0" borderId="20" xfId="0" applyFont="1" applyBorder="1" applyAlignment="1">
      <alignment horizontal="center"/>
    </xf>
    <xf numFmtId="0" fontId="53" fillId="46" borderId="15" xfId="0" applyFont="1" applyFill="1" applyBorder="1" applyAlignment="1">
      <alignment horizontal="center"/>
    </xf>
    <xf numFmtId="0" fontId="53" fillId="46" borderId="55" xfId="0" applyFont="1" applyFill="1" applyBorder="1" applyAlignment="1">
      <alignment horizontal="center"/>
    </xf>
    <xf numFmtId="0" fontId="53" fillId="46" borderId="86" xfId="0" applyFont="1" applyFill="1" applyBorder="1" applyAlignment="1">
      <alignment horizontal="center"/>
    </xf>
    <xf numFmtId="0" fontId="53" fillId="46" borderId="56" xfId="0" applyFont="1" applyFill="1" applyBorder="1" applyAlignment="1">
      <alignment horizontal="center"/>
    </xf>
    <xf numFmtId="0" fontId="53" fillId="0" borderId="4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1" xfId="0" applyFont="1" applyBorder="1" applyAlignment="1">
      <alignment horizontal="center" vertical="center" wrapText="1"/>
    </xf>
    <xf numFmtId="0" fontId="53" fillId="0" borderId="58" xfId="0" applyFont="1" applyBorder="1" applyAlignment="1">
      <alignment horizontal="center" wrapText="1"/>
    </xf>
    <xf numFmtId="0" fontId="53" fillId="0" borderId="60" xfId="0" applyFont="1" applyBorder="1" applyAlignment="1">
      <alignment horizontal="center" wrapText="1"/>
    </xf>
    <xf numFmtId="0" fontId="53" fillId="0" borderId="58" xfId="0" applyFont="1" applyBorder="1" applyAlignment="1">
      <alignment horizontal="center" vertical="center" wrapText="1"/>
    </xf>
    <xf numFmtId="0" fontId="53" fillId="0" borderId="59" xfId="0" applyFont="1" applyBorder="1" applyAlignment="1">
      <alignment horizontal="center" vertical="center" wrapText="1"/>
    </xf>
    <xf numFmtId="0" fontId="53" fillId="0" borderId="60" xfId="0" applyFont="1" applyBorder="1" applyAlignment="1">
      <alignment horizontal="center" vertical="center" wrapText="1"/>
    </xf>
    <xf numFmtId="0" fontId="53" fillId="0" borderId="76" xfId="0" applyFont="1" applyBorder="1" applyAlignment="1">
      <alignment horizontal="center" vertical="center" wrapText="1"/>
    </xf>
    <xf numFmtId="0" fontId="53" fillId="0" borderId="88" xfId="0" applyFont="1" applyBorder="1" applyAlignment="1">
      <alignment horizontal="center" wrapText="1"/>
    </xf>
    <xf numFmtId="0" fontId="53" fillId="0" borderId="89" xfId="0" applyFont="1" applyBorder="1" applyAlignment="1">
      <alignment horizontal="center" wrapText="1"/>
    </xf>
    <xf numFmtId="0" fontId="53" fillId="0" borderId="15" xfId="0" applyFont="1" applyBorder="1" applyAlignment="1">
      <alignment horizontal="center"/>
    </xf>
  </cellXfs>
  <cellStyles count="7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65" xr:uid="{B6EC2FBC-87E1-4F5D-953C-981209F94673}"/>
    <cellStyle name="60% - Accent2" xfId="25" builtinId="36" customBuiltin="1"/>
    <cellStyle name="60% - Accent2 2" xfId="66" xr:uid="{A0E6890C-0FDA-47C3-A946-BFA192461AE1}"/>
    <cellStyle name="60% - Accent3" xfId="29" builtinId="40" customBuiltin="1"/>
    <cellStyle name="60% - Accent3 2" xfId="67" xr:uid="{A33C4C04-0838-4281-B8EB-1D68CA4318AB}"/>
    <cellStyle name="60% - Accent4" xfId="33" builtinId="44" customBuiltin="1"/>
    <cellStyle name="60% - Accent4 2" xfId="68" xr:uid="{AA06C438-AC1D-4042-9AC2-E5C32CFC4ADB}"/>
    <cellStyle name="60% - Accent5" xfId="37" builtinId="48" customBuiltin="1"/>
    <cellStyle name="60% - Accent5 2" xfId="69" xr:uid="{F8F5C27B-3A18-495E-BF49-46F188FA3FEC}"/>
    <cellStyle name="60% - Accent6" xfId="41" builtinId="52" customBuiltin="1"/>
    <cellStyle name="60% - Accent6 2" xfId="70" xr:uid="{2E2A7A65-7D13-4CEB-A07B-85D1DCFA3D18}"/>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omma 2" xfId="59" xr:uid="{966A5017-EB37-4C2F-9411-F3E826D35C22}"/>
    <cellStyle name="Comma 3" xfId="72" xr:uid="{57DDD87E-A8D2-45E7-8ADD-0145BB5FB1CA}"/>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63" xr:uid="{2DCAE681-3A9B-469E-B737-7D5A4DEEAC41}"/>
    <cellStyle name="Normal" xfId="0" builtinId="0"/>
    <cellStyle name="Normal 129" xfId="52" xr:uid="{00000000-0005-0000-0000-000026000000}"/>
    <cellStyle name="Normal 2" xfId="42" xr:uid="{00000000-0005-0000-0000-000026000000}"/>
    <cellStyle name="Normal 2 10 2 2" xfId="49" xr:uid="{00000000-0005-0000-0000-000028000000}"/>
    <cellStyle name="Normal 2 10 2 2 2" xfId="55" xr:uid="{00000000-0005-0000-0000-000028000000}"/>
    <cellStyle name="Normal 2 10 3" xfId="51" xr:uid="{00000000-0005-0000-0000-000029000000}"/>
    <cellStyle name="Normal 2 10 3 2" xfId="56" xr:uid="{00000000-0005-0000-0000-000029000000}"/>
    <cellStyle name="Normal 2 2" xfId="60" xr:uid="{1597B396-D4E3-44CB-86C6-8137AAC439E2}"/>
    <cellStyle name="Normal 2 3" xfId="71" xr:uid="{41240DFC-553D-42A4-823D-78EEA89866DA}"/>
    <cellStyle name="Normal 3" xfId="45" xr:uid="{00000000-0005-0000-0000-000028000000}"/>
    <cellStyle name="Normal 3 2" xfId="48" xr:uid="{00000000-0005-0000-0000-000027000000}"/>
    <cellStyle name="Normal 3 2 2" xfId="54" xr:uid="{00000000-0005-0000-0000-000027000000}"/>
    <cellStyle name="Normal 3 3" xfId="61" xr:uid="{BFDF4EAB-BD3D-45DF-9E26-172E53F50FBD}"/>
    <cellStyle name="Normal 3 4" xfId="73" xr:uid="{1E451A0B-E764-4D99-86A4-439424D0D650}"/>
    <cellStyle name="Normal 4" xfId="58" xr:uid="{2F842EB7-CEC7-46FD-8033-EF318E759159}"/>
    <cellStyle name="Normal 8" xfId="44" xr:uid="{00000000-0005-0000-0000-000029000000}"/>
    <cellStyle name="Normal 9" xfId="47" xr:uid="{00000000-0005-0000-0000-00002A000000}"/>
    <cellStyle name="Note" xfId="15" builtinId="10" customBuiltin="1"/>
    <cellStyle name="Note 2" xfId="64" xr:uid="{54676A71-25F1-44BE-AD5A-607E73CA8F1D}"/>
    <cellStyle name="Output" xfId="10" builtinId="21" customBuiltin="1"/>
    <cellStyle name="Percent" xfId="57" builtinId="5"/>
    <cellStyle name="Percent 2" xfId="46" xr:uid="{00000000-0005-0000-0000-00002D000000}"/>
    <cellStyle name="Percent 2 2" xfId="53" xr:uid="{00000000-0005-0000-0000-00002D000000}"/>
    <cellStyle name="Style 1" xfId="50" xr:uid="{00000000-0005-0000-0000-000031000000}"/>
    <cellStyle name="Title" xfId="1" builtinId="15" customBuiltin="1"/>
    <cellStyle name="Title 2" xfId="62" xr:uid="{EA4D9A05-EC79-4379-BB6D-F9DC9DAB5176}"/>
    <cellStyle name="Total" xfId="17" builtinId="25" customBuiltin="1"/>
    <cellStyle name="Warning Text" xfId="14" builtinId="11" customBuiltin="1"/>
  </cellStyles>
  <dxfs count="0"/>
  <tableStyles count="0" defaultTableStyle="TableStyleMedium2" defaultPivotStyle="PivotStyleLight16"/>
  <colors>
    <mruColors>
      <color rgb="FF0000FF"/>
      <color rgb="FF339933"/>
      <color rgb="FFFCCCF9"/>
      <color rgb="FFB5F79D"/>
      <color rgb="FF66CCFF"/>
      <color rgb="FFD9CDFB"/>
      <color rgb="FFCC99FF"/>
      <color rgb="FF8BE9FF"/>
      <color rgb="FF99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Wanvestraut, Robert" id="{DD6E3A17-E900-4B2B-8B34-18114FDCAB06}" userId="Wanvestraut, Robert"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5" dT="2023-04-12T13:45:57.61" personId="{DD6E3A17-E900-4B2B-8B34-18114FDCAB06}" id="{A41A05F2-C45E-4961-8FA7-DD33C5814911}">
    <text xml:space="preserve">Mostly Lake County
</text>
  </threadedComment>
  <threadedComment ref="P5" dT="2023-04-12T13:46:08.33" personId="{DD6E3A17-E900-4B2B-8B34-18114FDCAB06}" id="{190C6EAB-0728-4580-8C7F-CEB390E1BD16}">
    <text>Mostly Lake County</text>
  </threadedComment>
  <threadedComment ref="U5" dT="2023-04-12T13:24:37.76" personId="{DD6E3A17-E900-4B2B-8B34-18114FDCAB06}" id="{6BCD0FA9-C074-4818-8A5D-80BFCB759A5E}">
    <text>Lake County
Alt. Applicaation Site = Excess water … Just a low area, not a rib</text>
  </threadedComment>
  <threadedComment ref="J17" dT="2023-04-11T15:44:16.17" personId="{DD6E3A17-E900-4B2B-8B34-18114FDCAB06}" id="{D0F99EEA-A27A-499E-B16F-CD640EE62427}">
    <text>10.355 from Conserve II (Orlando)
15.313 from OCUD South</text>
  </threadedComment>
  <threadedComment ref="M17" dT="2023-04-12T13:11:52.48" personId="{DD6E3A17-E900-4B2B-8B34-18114FDCAB06}" id="{AE87D4D0-5C05-4C29-A2AF-33B35EFCCB1A}">
    <text>All of this goes to Orange County.
OPAA (not residential)
Winter Garden &amp; Ocoee
Orange Co. RW distribution OCUD South
Mostly indoor outdoor nurseries
also a hay field and some
Landfills (irrigation &amp; dust control)</text>
  </threadedComment>
  <threadedComment ref="N17" dT="2023-04-12T13:44:27.12" personId="{DD6E3A17-E900-4B2B-8B34-18114FDCAB06}" id="{916EAD4E-F765-4936-B1F6-387C48119BD1}">
    <text>All in Orange</text>
  </threadedComment>
  <threadedComment ref="K19" dT="2023-04-11T15:31:13.77" personId="{DD6E3A17-E900-4B2B-8B34-18114FDCAB06}" id="{3FE16F53-5843-4E85-8558-AA39297B0483}">
    <text>To Conserv II Distribution Center</text>
  </threadedComment>
  <threadedComment ref="K28" dT="2023-04-11T15:46:20.76" personId="{DD6E3A17-E900-4B2B-8B34-18114FDCAB06}" id="{CB903E1A-8514-4AE5-92F8-EEB548D61382}">
    <text xml:space="preserve">To Conserv II D.C.
</text>
  </threadedComment>
  <threadedComment ref="O28" dT="2023-04-17T12:41:05.78" personId="{DD6E3A17-E900-4B2B-8B34-18114FDCAB06}" id="{EE626130-1AC9-4589-BC0E-12A20CE3FC4A}">
    <text xml:space="preserve">Robin said the 15 mgd sent to DC II should not get counted on her RIR. She said subtract it from Edible Crops (13.32)  &amp; RIBs (2.327).
</text>
  </threadedComment>
  <threadedComment ref="Q28" dT="2023-04-17T12:41:19.37" personId="{DD6E3A17-E900-4B2B-8B34-18114FDCAB06}" id="{A13269A7-3555-41FA-AF7C-5C0D4FE9193E}">
    <text>Robin said the 15 mgd sent to DC II should not get counted on her RIR. She said subtract it from Edible Crops (13.32)  &amp; RIBs (2.327).</text>
  </threadedComment>
  <threadedComment ref="G31" dT="2023-04-11T14:47:10.13" personId="{DD6E3A17-E900-4B2B-8B34-18114FDCAB06}" id="{583AE46D-7732-4D95-9E76-C1AD2ADE4D54}">
    <text xml:space="preserve">Includes 1.264 from TWA Poinciana Reuse System
</text>
  </threadedComment>
  <threadedComment ref="J31" dT="2023-04-11T14:45:49.49" personId="{DD6E3A17-E900-4B2B-8B34-18114FDCAB06}" id="{DE47DD0B-5CC1-4D07-9520-59A1203B759B}">
    <text>Includes transfer from Walnut aka Poinciana 1.264</text>
  </threadedComment>
  <threadedComment ref="J31" dT="2023-04-11T15:06:20.07" personId="{DD6E3A17-E900-4B2B-8B34-18114FDCAB06}" id="{6F3458CD-2726-437C-8524-76528CCC3F60}" parentId="{DE47DD0B-5CC1-4D07-9520-59A1203B759B}">
    <text xml:space="preserve">And 3.528 from Camelot
</text>
  </threadedComment>
  <threadedComment ref="K36" dT="2023-04-11T19:29:25.29" personId="{DD6E3A17-E900-4B2B-8B34-18114FDCAB06}" id="{783BC128-3C94-4180-8300-60E854F99E74}">
    <text>To Bermuda</text>
  </threadedComment>
  <threadedComment ref="K39" dT="2023-04-11T15:05:34.42" personId="{DD6E3A17-E900-4B2B-8B34-18114FDCAB06}" id="{46CB6D18-EA07-46C9-932F-7D3EC692DFA2}">
    <text>This goes to TWA - So. Bermuda</text>
  </threadedComment>
</ThreadedComments>
</file>

<file path=xl/threadedComments/threadedComment2.xml><?xml version="1.0" encoding="utf-8"?>
<ThreadedComments xmlns="http://schemas.microsoft.com/office/spreadsheetml/2018/threadedcomments" xmlns:x="http://schemas.openxmlformats.org/spreadsheetml/2006/main">
  <threadedComment ref="T6" dT="2023-04-12T13:24:37.76" personId="{DD6E3A17-E900-4B2B-8B34-18114FDCAB06}" id="{C7218E4D-B6F0-4512-A5DA-406DC2CA5836}">
    <text xml:space="preserve">Alternative Application Site </text>
  </threadedComment>
  <threadedComment ref="I16" dT="2023-04-11T15:44:16.17" personId="{DD6E3A17-E900-4B2B-8B34-18114FDCAB06}" id="{C66F9C74-1266-43E2-BC81-118202FAE093}">
    <text>10.355 from Conserve II (Orlando)
15.313 from OCUD South</text>
  </threadedComment>
  <threadedComment ref="L16" dT="2023-04-12T13:11:52.48" personId="{DD6E3A17-E900-4B2B-8B34-18114FDCAB06}" id="{9455FF3B-8376-46BB-BD88-0FAC680CC341}">
    <text>OPAA (Winter Garden &amp; Ocoee
Orange Co. RW distribution OCUD South) represents indoor outdoor nurseries, hay field, and landfill for irrigation and dust control</text>
  </threadedComment>
  <threadedComment ref="J17" dT="2023-04-11T15:31:13.77" personId="{DD6E3A17-E900-4B2B-8B34-18114FDCAB06}" id="{1DA52EB2-7BEA-4E93-BE06-3A3D63B601BA}">
    <text>To Conserv II Distribution Center</text>
  </threadedComment>
  <threadedComment ref="J18" dT="2023-04-11T15:46:20.76" personId="{DD6E3A17-E900-4B2B-8B34-18114FDCAB06}" id="{B3A02CE0-8281-46E6-8DD5-24B599A55AB8}">
    <text xml:space="preserve">To Conserv II D.C.
</text>
  </threadedComment>
  <threadedComment ref="N18" dT="2023-04-17T12:41:05.78" personId="{DD6E3A17-E900-4B2B-8B34-18114FDCAB06}" id="{47219151-B404-4AC1-AB06-A393BF199F30}">
    <text xml:space="preserve">Edible Crops (13.32)  &amp; RIBs (2.327) subtracted - sent to DC II.
</text>
  </threadedComment>
  <threadedComment ref="P18" dT="2023-04-17T12:41:05.78" personId="{DD6E3A17-E900-4B2B-8B34-18114FDCAB06}" id="{81D71C0B-269B-432C-9B03-672917AC61F4}">
    <text xml:space="preserve">Edible Crops (13.32)  &amp; RIBs (2.327) subtracted - sent to DC II.
</text>
  </threadedComment>
  <threadedComment ref="L19" dT="2023-12-20T19:12:27.23" personId="{DD6E3A17-E900-4B2B-8B34-18114FDCAB06}" id="{33EE749F-F5C3-416E-87CD-D4EF2F25C7BD}">
    <text>Per Charles Thomson at the City of  Orlando - 6.84 mgd goes to Orange/Seminole ERRDS for Residential Irrigation.</text>
  </threadedComment>
  <threadedComment ref="R30" dT="2023-12-20T19:04:25.42" personId="{DD6E3A17-E900-4B2B-8B34-18114FDCAB06}" id="{326199AF-F11F-4FC2-8456-A6BC37F25D4E}">
    <text>To Stanton Energy</text>
  </threadedComment>
  <threadedComment ref="I35" dT="2023-04-11T14:45:49.49" personId="{DD6E3A17-E900-4B2B-8B34-18114FDCAB06}" id="{5C291326-F473-422C-98AD-C0591E8E4F09}">
    <text>Includes transfer from Walnut (Poinciana) of 1.264 and 3.528 from Camelot</text>
  </threadedComment>
  <threadedComment ref="J36" dT="2023-04-11T19:29:25.29" personId="{DD6E3A17-E900-4B2B-8B34-18114FDCAB06}" id="{BE741FDC-0BBA-42C9-8EFB-6F666C4EBE85}">
    <text>To Bermuda</text>
  </threadedComment>
  <threadedComment ref="J41" dT="2023-04-11T15:05:34.42" personId="{DD6E3A17-E900-4B2B-8B34-18114FDCAB06}" id="{E052752B-352F-4991-A902-1DAE3F51EE80}">
    <text>To TWA - So. Bermuda &amp; Camelot system (to the overflow RIBs).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DDD65-35A0-48EF-B831-71A1F25FE22A}">
  <dimension ref="A1:Z103"/>
  <sheetViews>
    <sheetView zoomScaleNormal="100" workbookViewId="0">
      <pane ySplit="1" topLeftCell="A79" activePane="bottomLeft" state="frozen"/>
      <selection activeCell="B1" sqref="B1"/>
      <selection pane="bottomLeft" activeCell="A91" sqref="A91:XFD103"/>
    </sheetView>
  </sheetViews>
  <sheetFormatPr defaultRowHeight="15" x14ac:dyDescent="0.25"/>
  <cols>
    <col min="1" max="1" width="15.28515625" customWidth="1"/>
    <col min="2" max="2" width="29" customWidth="1"/>
    <col min="3" max="3" width="14.42578125" customWidth="1"/>
    <col min="4" max="4" width="9.140625" customWidth="1"/>
    <col min="5" max="5" width="14.7109375" customWidth="1"/>
    <col min="6" max="6" width="9.140625" customWidth="1"/>
    <col min="7" max="7" width="12.42578125" customWidth="1"/>
    <col min="8" max="8" width="11.42578125" customWidth="1"/>
    <col min="9" max="9" width="9.7109375" customWidth="1"/>
    <col min="10" max="10" width="11.140625" customWidth="1"/>
    <col min="11" max="11" width="9.5703125" bestFit="1" customWidth="1"/>
    <col min="12" max="14" width="11.140625" customWidth="1"/>
    <col min="15" max="15" width="10.85546875" customWidth="1"/>
    <col min="16" max="16" width="11.5703125" customWidth="1"/>
    <col min="17" max="17" width="11.7109375" customWidth="1"/>
    <col min="19" max="19" width="10.42578125" customWidth="1"/>
    <col min="20" max="20" width="10.5703125" customWidth="1"/>
    <col min="21" max="21" width="11.28515625" customWidth="1"/>
    <col min="22" max="22" width="39.140625" customWidth="1"/>
    <col min="25" max="25" width="47.7109375" customWidth="1"/>
  </cols>
  <sheetData>
    <row r="1" spans="1:26" ht="60" x14ac:dyDescent="0.25">
      <c r="A1" s="166" t="s">
        <v>270</v>
      </c>
      <c r="B1" s="166" t="s">
        <v>0</v>
      </c>
      <c r="C1" s="166" t="s">
        <v>26</v>
      </c>
      <c r="D1" s="166" t="s">
        <v>304</v>
      </c>
      <c r="E1" s="166" t="s">
        <v>223</v>
      </c>
      <c r="F1" s="166" t="s">
        <v>1</v>
      </c>
      <c r="G1" s="166" t="s">
        <v>224</v>
      </c>
      <c r="H1" s="166" t="s">
        <v>225</v>
      </c>
      <c r="I1" s="166" t="s">
        <v>226</v>
      </c>
      <c r="J1" s="166" t="s">
        <v>245</v>
      </c>
      <c r="K1" s="166" t="s">
        <v>246</v>
      </c>
      <c r="L1" s="166" t="s">
        <v>227</v>
      </c>
      <c r="M1" s="166" t="s">
        <v>228</v>
      </c>
      <c r="N1" s="166" t="s">
        <v>229</v>
      </c>
      <c r="O1" s="166" t="s">
        <v>230</v>
      </c>
      <c r="P1" s="166" t="s">
        <v>231</v>
      </c>
      <c r="Q1" s="166" t="s">
        <v>232</v>
      </c>
      <c r="R1" s="166" t="s">
        <v>233</v>
      </c>
      <c r="S1" s="166" t="s">
        <v>234</v>
      </c>
      <c r="T1" s="166" t="s">
        <v>235</v>
      </c>
      <c r="U1" s="166" t="s">
        <v>236</v>
      </c>
      <c r="V1" s="166" t="s">
        <v>204</v>
      </c>
    </row>
    <row r="2" spans="1:26" s="21" customFormat="1" ht="32.25" customHeight="1" x14ac:dyDescent="0.25">
      <c r="A2" s="18" t="s">
        <v>309</v>
      </c>
      <c r="B2" s="172" t="s">
        <v>310</v>
      </c>
      <c r="C2" s="172" t="s">
        <v>306</v>
      </c>
      <c r="D2" s="173" t="s">
        <v>46</v>
      </c>
      <c r="E2" s="174">
        <v>6</v>
      </c>
      <c r="F2" s="173" t="s">
        <v>312</v>
      </c>
      <c r="G2" s="127">
        <v>3.8929999999999998</v>
      </c>
      <c r="H2" s="127">
        <f>M2+N2+O2+P2+Q2+R2+S2+T2+U2</f>
        <v>3.24</v>
      </c>
      <c r="I2" s="127"/>
      <c r="J2" s="127"/>
      <c r="K2" s="127"/>
      <c r="L2" s="127">
        <v>0.89400000000000002</v>
      </c>
      <c r="M2" s="127">
        <v>2.8180000000000001</v>
      </c>
      <c r="N2" s="127">
        <v>0.17199999999999999</v>
      </c>
      <c r="O2" s="127"/>
      <c r="P2" s="127"/>
      <c r="Q2" s="127"/>
      <c r="R2" s="127"/>
      <c r="S2" s="127">
        <v>0.25</v>
      </c>
      <c r="T2" s="127"/>
      <c r="U2" s="127"/>
      <c r="V2" s="170" t="s">
        <v>319</v>
      </c>
    </row>
    <row r="3" spans="1:26" s="21" customFormat="1" ht="31.9" customHeight="1" x14ac:dyDescent="0.25">
      <c r="A3" s="18" t="s">
        <v>308</v>
      </c>
      <c r="B3" s="172" t="s">
        <v>311</v>
      </c>
      <c r="C3" s="172" t="s">
        <v>306</v>
      </c>
      <c r="D3" s="173" t="s">
        <v>46</v>
      </c>
      <c r="E3" s="174">
        <v>1.8</v>
      </c>
      <c r="F3" s="173" t="s">
        <v>312</v>
      </c>
      <c r="G3" s="127">
        <v>5.0000000000000001E-3</v>
      </c>
      <c r="H3" s="126" t="s">
        <v>314</v>
      </c>
      <c r="I3" s="127"/>
      <c r="J3" s="127"/>
      <c r="K3" s="127"/>
      <c r="L3" s="126" t="s">
        <v>314</v>
      </c>
      <c r="M3" s="126" t="s">
        <v>314</v>
      </c>
      <c r="N3" s="126" t="s">
        <v>314</v>
      </c>
      <c r="O3" s="126" t="s">
        <v>314</v>
      </c>
      <c r="P3" s="126" t="s">
        <v>314</v>
      </c>
      <c r="Q3" s="126" t="s">
        <v>314</v>
      </c>
      <c r="R3" s="126" t="s">
        <v>314</v>
      </c>
      <c r="S3" s="126" t="s">
        <v>314</v>
      </c>
      <c r="T3" s="126" t="s">
        <v>314</v>
      </c>
      <c r="U3" s="126" t="s">
        <v>314</v>
      </c>
      <c r="V3" s="170" t="s">
        <v>318</v>
      </c>
    </row>
    <row r="4" spans="1:26" ht="16.5" thickBot="1" x14ac:dyDescent="0.3">
      <c r="A4" s="96" t="s">
        <v>307</v>
      </c>
      <c r="B4" s="96"/>
      <c r="C4" s="96"/>
      <c r="D4" s="96"/>
      <c r="E4" s="97">
        <f>SUM(E2:E3)</f>
        <v>7.8</v>
      </c>
      <c r="F4" s="97">
        <f t="shared" ref="F4:T4" si="0">SUM(F2:F3)</f>
        <v>0</v>
      </c>
      <c r="G4" s="97">
        <f t="shared" si="0"/>
        <v>3.8979999999999997</v>
      </c>
      <c r="H4" s="97">
        <f t="shared" si="0"/>
        <v>3.24</v>
      </c>
      <c r="I4" s="97">
        <f t="shared" si="0"/>
        <v>0</v>
      </c>
      <c r="J4" s="97">
        <f t="shared" si="0"/>
        <v>0</v>
      </c>
      <c r="K4" s="97">
        <f t="shared" si="0"/>
        <v>0</v>
      </c>
      <c r="L4" s="97">
        <f t="shared" si="0"/>
        <v>0.89400000000000002</v>
      </c>
      <c r="M4" s="97">
        <f t="shared" si="0"/>
        <v>2.8180000000000001</v>
      </c>
      <c r="N4" s="97">
        <f t="shared" si="0"/>
        <v>0.17199999999999999</v>
      </c>
      <c r="O4" s="97">
        <f t="shared" si="0"/>
        <v>0</v>
      </c>
      <c r="P4" s="97">
        <f t="shared" si="0"/>
        <v>0</v>
      </c>
      <c r="Q4" s="97">
        <f t="shared" si="0"/>
        <v>0</v>
      </c>
      <c r="R4" s="97">
        <f t="shared" si="0"/>
        <v>0</v>
      </c>
      <c r="S4" s="97">
        <f t="shared" si="0"/>
        <v>0.25</v>
      </c>
      <c r="T4" s="97">
        <f t="shared" si="0"/>
        <v>0</v>
      </c>
      <c r="U4" s="97">
        <f t="shared" ref="U4" si="1">SUM(U3:U3)</f>
        <v>0</v>
      </c>
      <c r="V4" s="119" t="s">
        <v>313</v>
      </c>
      <c r="W4" s="138"/>
      <c r="X4" s="143"/>
      <c r="Y4" s="143"/>
      <c r="Z4" s="120"/>
    </row>
    <row r="5" spans="1:26" s="120" customFormat="1" ht="15.75" thickBot="1" x14ac:dyDescent="0.3">
      <c r="A5" s="128" t="s">
        <v>351</v>
      </c>
      <c r="B5" s="129" t="s">
        <v>348</v>
      </c>
      <c r="C5" s="130" t="s">
        <v>338</v>
      </c>
      <c r="D5" s="130" t="s">
        <v>31</v>
      </c>
      <c r="E5" s="162" t="s">
        <v>346</v>
      </c>
      <c r="F5" s="130" t="s">
        <v>50</v>
      </c>
      <c r="G5" s="26">
        <v>0</v>
      </c>
      <c r="H5" s="26">
        <f>U5+T5+S5+R5+Q5+P5+O5+N5+M5</f>
        <v>5.1829999999999989</v>
      </c>
      <c r="I5" s="116"/>
      <c r="J5" s="116"/>
      <c r="K5" s="116"/>
      <c r="L5" s="116"/>
      <c r="M5" s="9">
        <v>0</v>
      </c>
      <c r="N5" s="111">
        <v>0</v>
      </c>
      <c r="O5" s="111">
        <f>0.693</f>
        <v>0.69299999999999995</v>
      </c>
      <c r="P5" s="111">
        <v>0.30499999999999999</v>
      </c>
      <c r="Q5" s="9">
        <v>3.88</v>
      </c>
      <c r="R5" s="111"/>
      <c r="S5" s="111"/>
      <c r="T5" s="111"/>
      <c r="U5" s="149">
        <v>0.30499999999999999</v>
      </c>
      <c r="V5" s="131"/>
      <c r="W5" s="139"/>
      <c r="X5" s="144"/>
      <c r="Y5" s="146"/>
      <c r="Z5" s="28"/>
    </row>
    <row r="6" spans="1:26" s="28" customFormat="1" x14ac:dyDescent="0.25">
      <c r="A6" s="24" t="s">
        <v>54</v>
      </c>
      <c r="B6" s="24" t="s">
        <v>55</v>
      </c>
      <c r="C6" s="24" t="s">
        <v>55</v>
      </c>
      <c r="D6" s="24" t="s">
        <v>46</v>
      </c>
      <c r="E6" s="25">
        <v>0.12</v>
      </c>
      <c r="F6" s="24" t="s">
        <v>50</v>
      </c>
      <c r="G6" s="15">
        <v>3.5000000000000003E-2</v>
      </c>
      <c r="H6" s="15">
        <f t="shared" ref="H6:H13" si="2">M6+N6+O6+P6+Q6+R6+S6+T6+U6</f>
        <v>3.5000000000000003E-2</v>
      </c>
      <c r="I6" s="15">
        <v>0</v>
      </c>
      <c r="J6" s="15"/>
      <c r="K6" s="15"/>
      <c r="L6" s="15">
        <v>0</v>
      </c>
      <c r="M6" s="15">
        <v>0</v>
      </c>
      <c r="N6" s="15">
        <v>0</v>
      </c>
      <c r="O6" s="15">
        <v>0</v>
      </c>
      <c r="P6" s="15">
        <v>0</v>
      </c>
      <c r="Q6" s="15">
        <v>3.5000000000000003E-2</v>
      </c>
      <c r="R6" s="15">
        <v>0</v>
      </c>
      <c r="S6" s="15">
        <v>0</v>
      </c>
      <c r="T6" s="15">
        <v>0</v>
      </c>
      <c r="U6" s="15">
        <v>0</v>
      </c>
      <c r="V6" s="175"/>
      <c r="W6" s="85"/>
      <c r="X6" s="27"/>
      <c r="Y6" s="27"/>
    </row>
    <row r="7" spans="1:26" s="28" customFormat="1" x14ac:dyDescent="0.25">
      <c r="A7" s="24" t="s">
        <v>51</v>
      </c>
      <c r="B7" s="24" t="s">
        <v>52</v>
      </c>
      <c r="C7" s="24" t="s">
        <v>53</v>
      </c>
      <c r="D7" s="24" t="s">
        <v>46</v>
      </c>
      <c r="E7" s="25">
        <v>4</v>
      </c>
      <c r="F7" s="24" t="s">
        <v>50</v>
      </c>
      <c r="G7" s="15">
        <v>3.0779999999999998</v>
      </c>
      <c r="H7" s="15">
        <f t="shared" si="2"/>
        <v>3.4380000000000006</v>
      </c>
      <c r="I7" s="15">
        <v>0.36</v>
      </c>
      <c r="J7" s="15"/>
      <c r="K7" s="15"/>
      <c r="L7" s="15">
        <v>0</v>
      </c>
      <c r="M7" s="15">
        <v>2.9220000000000002</v>
      </c>
      <c r="N7" s="15">
        <v>0.34100000000000003</v>
      </c>
      <c r="O7" s="15">
        <v>0</v>
      </c>
      <c r="P7" s="15">
        <v>0</v>
      </c>
      <c r="Q7" s="15">
        <v>0.16400000000000001</v>
      </c>
      <c r="R7" s="15">
        <v>0</v>
      </c>
      <c r="S7" s="15">
        <v>1.0999999999999999E-2</v>
      </c>
      <c r="T7" s="15">
        <v>0</v>
      </c>
      <c r="U7" s="15">
        <v>0</v>
      </c>
      <c r="V7" s="175"/>
      <c r="W7" s="85"/>
      <c r="X7" s="27"/>
      <c r="Y7" s="27"/>
    </row>
    <row r="8" spans="1:26" s="28" customFormat="1" x14ac:dyDescent="0.25">
      <c r="A8" s="24" t="s">
        <v>61</v>
      </c>
      <c r="B8" s="24" t="s">
        <v>207</v>
      </c>
      <c r="C8" s="24" t="s">
        <v>49</v>
      </c>
      <c r="D8" s="24" t="s">
        <v>46</v>
      </c>
      <c r="E8" s="25">
        <v>0.99</v>
      </c>
      <c r="F8" s="24" t="s">
        <v>50</v>
      </c>
      <c r="G8" s="15">
        <v>0.51900000000000002</v>
      </c>
      <c r="H8" s="15">
        <f t="shared" si="2"/>
        <v>0.42899999999999999</v>
      </c>
      <c r="I8" s="15">
        <v>0.22700000000000001</v>
      </c>
      <c r="J8" s="15"/>
      <c r="K8" s="15"/>
      <c r="L8" s="15">
        <v>0</v>
      </c>
      <c r="M8" s="15">
        <v>0.41799999999999998</v>
      </c>
      <c r="N8" s="15">
        <v>0</v>
      </c>
      <c r="O8" s="15">
        <v>0</v>
      </c>
      <c r="P8" s="15">
        <v>0</v>
      </c>
      <c r="Q8" s="15">
        <v>1.0999999999999999E-2</v>
      </c>
      <c r="R8" s="15">
        <v>0</v>
      </c>
      <c r="S8" s="15">
        <v>0</v>
      </c>
      <c r="T8" s="15">
        <v>0</v>
      </c>
      <c r="U8" s="15">
        <v>0</v>
      </c>
      <c r="V8" s="175"/>
      <c r="W8" s="85"/>
      <c r="X8" s="27"/>
      <c r="Y8" s="27"/>
    </row>
    <row r="9" spans="1:26" s="28" customFormat="1" x14ac:dyDescent="0.25">
      <c r="A9" s="24" t="s">
        <v>47</v>
      </c>
      <c r="B9" s="24" t="s">
        <v>48</v>
      </c>
      <c r="C9" s="24" t="s">
        <v>49</v>
      </c>
      <c r="D9" s="24" t="s">
        <v>46</v>
      </c>
      <c r="E9" s="25">
        <v>0.99</v>
      </c>
      <c r="F9" s="24" t="s">
        <v>50</v>
      </c>
      <c r="G9" s="15">
        <v>0.73699999999999999</v>
      </c>
      <c r="H9" s="15">
        <f t="shared" si="2"/>
        <v>0.75500000000000012</v>
      </c>
      <c r="I9" s="15">
        <v>1.7999999999999999E-2</v>
      </c>
      <c r="J9" s="15"/>
      <c r="K9" s="15"/>
      <c r="L9" s="15">
        <v>0</v>
      </c>
      <c r="M9" s="15">
        <v>0.68200000000000005</v>
      </c>
      <c r="N9" s="15">
        <v>0</v>
      </c>
      <c r="O9" s="15">
        <v>0</v>
      </c>
      <c r="P9" s="15">
        <v>4.0000000000000001E-3</v>
      </c>
      <c r="Q9" s="15">
        <v>6.9000000000000006E-2</v>
      </c>
      <c r="R9" s="15">
        <v>0</v>
      </c>
      <c r="S9" s="15">
        <v>0</v>
      </c>
      <c r="T9" s="15">
        <v>0</v>
      </c>
      <c r="U9" s="15"/>
      <c r="V9" s="175"/>
      <c r="W9" s="85"/>
      <c r="X9" s="27"/>
      <c r="Y9" s="27"/>
    </row>
    <row r="10" spans="1:26" s="28" customFormat="1" x14ac:dyDescent="0.25">
      <c r="A10" s="24" t="s">
        <v>56</v>
      </c>
      <c r="B10" s="24" t="s">
        <v>57</v>
      </c>
      <c r="C10" s="24" t="s">
        <v>58</v>
      </c>
      <c r="D10" s="24" t="s">
        <v>46</v>
      </c>
      <c r="E10" s="25">
        <v>0.999</v>
      </c>
      <c r="F10" s="24" t="s">
        <v>50</v>
      </c>
      <c r="G10" s="15">
        <v>0.59899999999999998</v>
      </c>
      <c r="H10" s="15">
        <f t="shared" si="2"/>
        <v>0.55500000000000005</v>
      </c>
      <c r="I10" s="15">
        <v>0</v>
      </c>
      <c r="J10" s="15"/>
      <c r="K10" s="15"/>
      <c r="L10" s="15">
        <v>0</v>
      </c>
      <c r="M10" s="15">
        <v>0.30499999999999999</v>
      </c>
      <c r="N10" s="15">
        <v>0</v>
      </c>
      <c r="O10" s="15">
        <v>0</v>
      </c>
      <c r="P10" s="15">
        <v>0</v>
      </c>
      <c r="Q10" s="15">
        <v>0.222</v>
      </c>
      <c r="R10" s="15">
        <v>0</v>
      </c>
      <c r="S10" s="15">
        <v>8.0000000000000002E-3</v>
      </c>
      <c r="T10" s="15">
        <v>0</v>
      </c>
      <c r="U10" s="15">
        <v>2.0000000000000004E-2</v>
      </c>
      <c r="V10" s="175"/>
      <c r="W10" s="86"/>
      <c r="X10" s="30"/>
      <c r="Y10" s="30"/>
    </row>
    <row r="11" spans="1:26" s="28" customFormat="1" x14ac:dyDescent="0.25">
      <c r="A11" s="24" t="s">
        <v>64</v>
      </c>
      <c r="B11" s="24" t="s">
        <v>65</v>
      </c>
      <c r="C11" s="24" t="s">
        <v>66</v>
      </c>
      <c r="D11" s="24" t="s">
        <v>46</v>
      </c>
      <c r="E11" s="25">
        <v>1</v>
      </c>
      <c r="F11" s="24" t="s">
        <v>50</v>
      </c>
      <c r="G11" s="15">
        <v>0.34200000000000003</v>
      </c>
      <c r="H11" s="15">
        <f t="shared" si="2"/>
        <v>0.34200000000000003</v>
      </c>
      <c r="I11" s="15">
        <v>0</v>
      </c>
      <c r="J11" s="15"/>
      <c r="K11" s="15"/>
      <c r="L11" s="15">
        <v>0</v>
      </c>
      <c r="M11" s="15">
        <v>0</v>
      </c>
      <c r="N11" s="15">
        <v>0</v>
      </c>
      <c r="O11" s="15">
        <v>0</v>
      </c>
      <c r="P11" s="15">
        <v>0</v>
      </c>
      <c r="Q11" s="15">
        <v>0.34200000000000003</v>
      </c>
      <c r="R11" s="15">
        <v>0</v>
      </c>
      <c r="S11" s="15">
        <v>0</v>
      </c>
      <c r="T11" s="15">
        <v>0</v>
      </c>
      <c r="U11" s="15">
        <v>0</v>
      </c>
      <c r="V11" s="175"/>
      <c r="W11" s="85"/>
      <c r="X11" s="27"/>
      <c r="Y11" s="27"/>
    </row>
    <row r="12" spans="1:26" s="28" customFormat="1" x14ac:dyDescent="0.25">
      <c r="A12" s="24" t="s">
        <v>62</v>
      </c>
      <c r="B12" s="24" t="s">
        <v>63</v>
      </c>
      <c r="C12" s="24" t="s">
        <v>63</v>
      </c>
      <c r="D12" s="24" t="s">
        <v>46</v>
      </c>
      <c r="E12" s="25">
        <v>0.22500000000000001</v>
      </c>
      <c r="F12" s="24" t="s">
        <v>50</v>
      </c>
      <c r="G12" s="15">
        <v>1.2E-2</v>
      </c>
      <c r="H12" s="15">
        <f t="shared" si="2"/>
        <v>1.2E-2</v>
      </c>
      <c r="I12" s="15">
        <v>0</v>
      </c>
      <c r="J12" s="15"/>
      <c r="K12" s="15"/>
      <c r="L12" s="15">
        <v>0</v>
      </c>
      <c r="M12" s="15">
        <v>0</v>
      </c>
      <c r="N12" s="15">
        <v>1.2E-2</v>
      </c>
      <c r="O12" s="15">
        <v>0</v>
      </c>
      <c r="P12" s="15">
        <v>0</v>
      </c>
      <c r="Q12" s="15">
        <v>0</v>
      </c>
      <c r="R12" s="15">
        <v>0</v>
      </c>
      <c r="S12" s="15">
        <v>0</v>
      </c>
      <c r="T12" s="15">
        <v>0</v>
      </c>
      <c r="U12" s="15">
        <v>0</v>
      </c>
      <c r="V12" s="175"/>
      <c r="W12" s="85"/>
      <c r="X12" s="27"/>
      <c r="Y12" s="27"/>
    </row>
    <row r="13" spans="1:26" s="28" customFormat="1" x14ac:dyDescent="0.25">
      <c r="A13" s="24" t="s">
        <v>59</v>
      </c>
      <c r="B13" s="24" t="s">
        <v>60</v>
      </c>
      <c r="C13" s="24" t="s">
        <v>60</v>
      </c>
      <c r="D13" s="24" t="s">
        <v>46</v>
      </c>
      <c r="E13" s="25">
        <v>1.1499999999999999</v>
      </c>
      <c r="F13" s="24" t="s">
        <v>50</v>
      </c>
      <c r="G13" s="15">
        <v>0.78500000000000003</v>
      </c>
      <c r="H13" s="15">
        <f t="shared" si="2"/>
        <v>0.78500000000000003</v>
      </c>
      <c r="I13" s="15">
        <v>0</v>
      </c>
      <c r="J13" s="15"/>
      <c r="K13" s="15"/>
      <c r="L13" s="15">
        <v>0</v>
      </c>
      <c r="M13" s="15">
        <v>0</v>
      </c>
      <c r="N13" s="15">
        <v>0</v>
      </c>
      <c r="O13" s="15">
        <v>0</v>
      </c>
      <c r="P13" s="15">
        <v>0</v>
      </c>
      <c r="Q13" s="15">
        <v>0.78500000000000003</v>
      </c>
      <c r="R13" s="15">
        <v>0</v>
      </c>
      <c r="S13" s="15">
        <v>0</v>
      </c>
      <c r="T13" s="15">
        <v>0</v>
      </c>
      <c r="U13" s="15">
        <v>0</v>
      </c>
      <c r="V13" s="175"/>
      <c r="W13" s="86"/>
      <c r="X13" s="30"/>
      <c r="Y13" s="30"/>
    </row>
    <row r="14" spans="1:26" ht="16.5" thickBot="1" x14ac:dyDescent="0.3">
      <c r="A14" s="96" t="s">
        <v>299</v>
      </c>
      <c r="B14" s="96"/>
      <c r="C14" s="96"/>
      <c r="D14" s="96"/>
      <c r="E14" s="97">
        <f>SUM(E5:E13)</f>
        <v>9.4740000000000002</v>
      </c>
      <c r="F14" s="97" t="s">
        <v>330</v>
      </c>
      <c r="G14" s="97">
        <f t="shared" ref="G14:U14" si="3">SUM(G5:G13)</f>
        <v>6.1069999999999993</v>
      </c>
      <c r="H14" s="97">
        <f t="shared" si="3"/>
        <v>11.534000000000001</v>
      </c>
      <c r="I14" s="97">
        <f t="shared" si="3"/>
        <v>0.60499999999999998</v>
      </c>
      <c r="J14" s="97">
        <f t="shared" si="3"/>
        <v>0</v>
      </c>
      <c r="K14" s="97">
        <f t="shared" si="3"/>
        <v>0</v>
      </c>
      <c r="L14" s="97">
        <f t="shared" si="3"/>
        <v>0</v>
      </c>
      <c r="M14" s="97">
        <f t="shared" si="3"/>
        <v>4.327</v>
      </c>
      <c r="N14" s="97">
        <f t="shared" si="3"/>
        <v>0.35300000000000004</v>
      </c>
      <c r="O14" s="97">
        <f t="shared" si="3"/>
        <v>0.69299999999999995</v>
      </c>
      <c r="P14" s="97">
        <f t="shared" si="3"/>
        <v>0.309</v>
      </c>
      <c r="Q14" s="97">
        <f t="shared" si="3"/>
        <v>5.508</v>
      </c>
      <c r="R14" s="97">
        <f t="shared" si="3"/>
        <v>0</v>
      </c>
      <c r="S14" s="97">
        <f t="shared" si="3"/>
        <v>1.9E-2</v>
      </c>
      <c r="T14" s="97">
        <f t="shared" si="3"/>
        <v>0</v>
      </c>
      <c r="U14" s="97">
        <f t="shared" si="3"/>
        <v>0.32500000000000001</v>
      </c>
      <c r="V14" s="98"/>
      <c r="W14" s="138"/>
      <c r="X14" s="143"/>
      <c r="Y14" s="143"/>
      <c r="Z14" s="148"/>
    </row>
    <row r="15" spans="1:26" s="154" customFormat="1" ht="16.5" thickBot="1" x14ac:dyDescent="0.3">
      <c r="A15" s="24" t="s">
        <v>67</v>
      </c>
      <c r="B15" s="24" t="s">
        <v>68</v>
      </c>
      <c r="C15" s="24" t="s">
        <v>69</v>
      </c>
      <c r="D15" s="24" t="s">
        <v>46</v>
      </c>
      <c r="E15" s="25">
        <v>4.75</v>
      </c>
      <c r="F15" s="24" t="s">
        <v>2</v>
      </c>
      <c r="G15" s="15">
        <v>3.89</v>
      </c>
      <c r="H15" s="15">
        <f>M15+N15+O15+P15+Q15+R15+S15+T15+U15</f>
        <v>2.93</v>
      </c>
      <c r="I15" s="15">
        <v>0</v>
      </c>
      <c r="J15" s="15"/>
      <c r="K15" s="15"/>
      <c r="L15" s="117">
        <v>0</v>
      </c>
      <c r="M15" s="15">
        <v>1.6</v>
      </c>
      <c r="N15" s="15">
        <v>0.6</v>
      </c>
      <c r="O15" s="15">
        <v>0</v>
      </c>
      <c r="P15" s="15">
        <v>0</v>
      </c>
      <c r="Q15" s="15">
        <v>0.73</v>
      </c>
      <c r="R15" s="15">
        <v>0</v>
      </c>
      <c r="S15" s="15">
        <v>0</v>
      </c>
      <c r="T15" s="15">
        <v>0</v>
      </c>
      <c r="U15" s="15">
        <v>0</v>
      </c>
      <c r="V15" s="175"/>
      <c r="W15" s="139"/>
      <c r="X15" s="144"/>
      <c r="Y15" s="146"/>
      <c r="Z15" s="85"/>
    </row>
    <row r="16" spans="1:26" s="28" customFormat="1" x14ac:dyDescent="0.25">
      <c r="A16" s="24" t="s">
        <v>11</v>
      </c>
      <c r="B16" s="36" t="s">
        <v>35</v>
      </c>
      <c r="C16" s="24" t="s">
        <v>28</v>
      </c>
      <c r="D16" s="24" t="s">
        <v>46</v>
      </c>
      <c r="E16" s="37">
        <v>24</v>
      </c>
      <c r="F16" s="24" t="s">
        <v>2</v>
      </c>
      <c r="G16" s="15">
        <v>19.559999999999999</v>
      </c>
      <c r="H16" s="15">
        <f>M16+N16+O16+P16+Q16+R16+S16+T16+U16</f>
        <v>21.764000000000003</v>
      </c>
      <c r="I16" s="15">
        <v>2.2000000000000002</v>
      </c>
      <c r="J16" s="15"/>
      <c r="K16" s="15"/>
      <c r="L16" s="117">
        <v>0</v>
      </c>
      <c r="M16" s="15">
        <v>4.5960000000000001</v>
      </c>
      <c r="N16" s="15">
        <v>0</v>
      </c>
      <c r="O16" s="15">
        <v>0</v>
      </c>
      <c r="P16" s="15">
        <v>0</v>
      </c>
      <c r="Q16" s="15">
        <v>2.4500000000000002</v>
      </c>
      <c r="R16" s="15">
        <v>0</v>
      </c>
      <c r="S16" s="15">
        <v>7.4</v>
      </c>
      <c r="T16" s="15">
        <v>7.3179999999999996</v>
      </c>
      <c r="U16" s="15">
        <v>0</v>
      </c>
      <c r="V16" s="175"/>
      <c r="W16" s="87"/>
      <c r="X16" s="31"/>
      <c r="Y16" s="31"/>
    </row>
    <row r="17" spans="1:26" s="28" customFormat="1" x14ac:dyDescent="0.25">
      <c r="A17" s="128" t="s">
        <v>339</v>
      </c>
      <c r="B17" s="129" t="s">
        <v>347</v>
      </c>
      <c r="C17" s="130" t="s">
        <v>338</v>
      </c>
      <c r="D17" s="130" t="s">
        <v>31</v>
      </c>
      <c r="E17" s="162" t="s">
        <v>346</v>
      </c>
      <c r="F17" s="130" t="s">
        <v>2</v>
      </c>
      <c r="G17" s="26">
        <v>0</v>
      </c>
      <c r="H17" s="26">
        <f>U17+T17+S17+R17+Q17+P17+O17+N17+M17</f>
        <v>26.805</v>
      </c>
      <c r="I17" s="26">
        <f>3.47</f>
        <v>3.47</v>
      </c>
      <c r="J17" s="26">
        <f>10.365+15.313</f>
        <v>25.678000000000001</v>
      </c>
      <c r="K17" s="26">
        <v>0</v>
      </c>
      <c r="L17" s="116">
        <v>0</v>
      </c>
      <c r="M17" s="9">
        <v>16.332000000000001</v>
      </c>
      <c r="N17" s="111">
        <v>1.4790000000000001</v>
      </c>
      <c r="O17" s="111">
        <v>0</v>
      </c>
      <c r="P17" s="111">
        <v>0</v>
      </c>
      <c r="Q17" s="9">
        <v>8.9939999999999998</v>
      </c>
      <c r="R17" s="111">
        <v>0</v>
      </c>
      <c r="S17" s="111">
        <v>0</v>
      </c>
      <c r="T17" s="111">
        <v>0</v>
      </c>
      <c r="U17" s="111">
        <v>0</v>
      </c>
      <c r="V17" s="131" t="s">
        <v>340</v>
      </c>
      <c r="W17" s="85"/>
      <c r="X17" s="27"/>
      <c r="Y17" s="27"/>
    </row>
    <row r="18" spans="1:26" s="28" customFormat="1" x14ac:dyDescent="0.25">
      <c r="A18" s="24" t="s">
        <v>20</v>
      </c>
      <c r="B18" s="24" t="s">
        <v>36</v>
      </c>
      <c r="C18" s="24" t="s">
        <v>28</v>
      </c>
      <c r="D18" s="24" t="s">
        <v>46</v>
      </c>
      <c r="E18" s="37">
        <v>11.25</v>
      </c>
      <c r="F18" s="24" t="s">
        <v>2</v>
      </c>
      <c r="G18" s="15">
        <v>5.96</v>
      </c>
      <c r="H18" s="15">
        <f>M18+N18+O18+P18+Q18+R18+S18+T18+U18</f>
        <v>5.9880000000000004</v>
      </c>
      <c r="I18" s="15">
        <v>0</v>
      </c>
      <c r="J18" s="15"/>
      <c r="K18" s="15">
        <v>2.044</v>
      </c>
      <c r="L18" s="117">
        <v>0</v>
      </c>
      <c r="M18" s="15">
        <v>2.1920000000000002</v>
      </c>
      <c r="N18" s="15">
        <v>0</v>
      </c>
      <c r="O18" s="15">
        <v>0</v>
      </c>
      <c r="P18" s="15">
        <v>0</v>
      </c>
      <c r="Q18" s="15">
        <v>0.73599999999999999</v>
      </c>
      <c r="R18" s="15">
        <v>0</v>
      </c>
      <c r="S18" s="15"/>
      <c r="T18" s="15">
        <v>3.03</v>
      </c>
      <c r="U18" s="15">
        <v>0.03</v>
      </c>
      <c r="V18" s="176" t="s">
        <v>321</v>
      </c>
      <c r="W18" s="85"/>
      <c r="X18" s="27"/>
      <c r="Y18" s="27"/>
    </row>
    <row r="19" spans="1:26" s="28" customFormat="1" x14ac:dyDescent="0.25">
      <c r="A19" s="108" t="s">
        <v>15</v>
      </c>
      <c r="B19" s="122" t="s">
        <v>345</v>
      </c>
      <c r="C19" s="29" t="s">
        <v>29</v>
      </c>
      <c r="D19" s="29" t="s">
        <v>31</v>
      </c>
      <c r="E19" s="115">
        <v>21</v>
      </c>
      <c r="F19" s="121" t="s">
        <v>2</v>
      </c>
      <c r="G19" s="15">
        <v>14.196</v>
      </c>
      <c r="H19" s="15">
        <f>U19+T19+S19+R19+Q19+P19+O19+N19+M19</f>
        <v>3.6340000000000003</v>
      </c>
      <c r="I19" s="15">
        <v>0</v>
      </c>
      <c r="J19" s="15">
        <v>0</v>
      </c>
      <c r="K19" s="15">
        <v>10.356</v>
      </c>
      <c r="L19" s="117">
        <v>0</v>
      </c>
      <c r="M19" s="112">
        <f>0.113+2.717</f>
        <v>2.83</v>
      </c>
      <c r="N19" s="112">
        <v>0.80400000000000005</v>
      </c>
      <c r="O19" s="112">
        <v>0</v>
      </c>
      <c r="P19" s="112">
        <v>0</v>
      </c>
      <c r="Q19" s="112">
        <v>0</v>
      </c>
      <c r="R19" s="112">
        <v>0</v>
      </c>
      <c r="S19" s="112">
        <v>0</v>
      </c>
      <c r="T19" s="112">
        <v>0</v>
      </c>
      <c r="U19" s="112">
        <v>0</v>
      </c>
      <c r="V19" s="168" t="s">
        <v>337</v>
      </c>
      <c r="W19" s="85"/>
      <c r="X19" s="27"/>
      <c r="Y19" s="27"/>
    </row>
    <row r="20" spans="1:26" s="28" customFormat="1" x14ac:dyDescent="0.25">
      <c r="A20" s="24" t="s">
        <v>70</v>
      </c>
      <c r="B20" s="24" t="s">
        <v>71</v>
      </c>
      <c r="C20" s="24" t="s">
        <v>72</v>
      </c>
      <c r="D20" s="24" t="s">
        <v>46</v>
      </c>
      <c r="E20" s="25">
        <v>3</v>
      </c>
      <c r="F20" s="24" t="s">
        <v>2</v>
      </c>
      <c r="G20" s="15">
        <v>1.7</v>
      </c>
      <c r="H20" s="15">
        <f>M20+N20+O20+P20+Q20+R20+S20+T20+U20</f>
        <v>4.1429999999999998</v>
      </c>
      <c r="I20" s="15">
        <v>0</v>
      </c>
      <c r="J20" s="15">
        <v>2.4340000000000002</v>
      </c>
      <c r="K20" s="15"/>
      <c r="L20" s="117">
        <v>0</v>
      </c>
      <c r="M20" s="15">
        <v>4.0030000000000001</v>
      </c>
      <c r="N20" s="15">
        <v>0.04</v>
      </c>
      <c r="O20" s="15">
        <v>0</v>
      </c>
      <c r="P20" s="15">
        <v>0.1</v>
      </c>
      <c r="Q20" s="15">
        <v>0</v>
      </c>
      <c r="R20" s="15">
        <v>0</v>
      </c>
      <c r="S20" s="15">
        <v>0</v>
      </c>
      <c r="T20" s="15">
        <v>0</v>
      </c>
      <c r="U20" s="15">
        <v>0</v>
      </c>
      <c r="V20" s="176" t="s">
        <v>320</v>
      </c>
      <c r="W20" s="85"/>
      <c r="X20" s="27"/>
      <c r="Y20" s="27"/>
    </row>
    <row r="21" spans="1:26" s="28" customFormat="1" x14ac:dyDescent="0.25">
      <c r="A21" s="108" t="s">
        <v>22</v>
      </c>
      <c r="B21" s="108" t="s">
        <v>34</v>
      </c>
      <c r="C21" s="24" t="s">
        <v>25</v>
      </c>
      <c r="D21" s="24" t="s">
        <v>31</v>
      </c>
      <c r="E21" s="110">
        <v>7.5</v>
      </c>
      <c r="F21" s="24" t="s">
        <v>2</v>
      </c>
      <c r="G21" s="15">
        <v>5.39</v>
      </c>
      <c r="H21" s="15">
        <f>U21+T21+S21+R21+Q21+P21+O21+N21+M21</f>
        <v>5.39</v>
      </c>
      <c r="I21" s="15">
        <v>0.44</v>
      </c>
      <c r="J21" s="15">
        <v>0</v>
      </c>
      <c r="K21" s="15">
        <v>0</v>
      </c>
      <c r="L21" s="117">
        <v>0</v>
      </c>
      <c r="M21" s="112">
        <v>5.29</v>
      </c>
      <c r="N21" s="112">
        <v>0.06</v>
      </c>
      <c r="O21" s="112">
        <v>0</v>
      </c>
      <c r="P21" s="112">
        <v>0</v>
      </c>
      <c r="Q21" s="112">
        <v>0.04</v>
      </c>
      <c r="R21" s="112">
        <v>0</v>
      </c>
      <c r="S21" s="112">
        <v>0</v>
      </c>
      <c r="T21" s="112">
        <v>0</v>
      </c>
      <c r="U21" s="112">
        <v>0</v>
      </c>
      <c r="V21" s="169"/>
      <c r="W21" s="85"/>
      <c r="X21" s="27"/>
      <c r="Y21" s="27"/>
    </row>
    <row r="22" spans="1:26" s="28" customFormat="1" x14ac:dyDescent="0.25">
      <c r="A22" s="24" t="s">
        <v>73</v>
      </c>
      <c r="B22" s="24" t="s">
        <v>74</v>
      </c>
      <c r="C22" s="24" t="s">
        <v>75</v>
      </c>
      <c r="D22" s="24" t="s">
        <v>46</v>
      </c>
      <c r="E22" s="25">
        <v>8</v>
      </c>
      <c r="F22" s="24" t="s">
        <v>2</v>
      </c>
      <c r="G22" s="15">
        <v>2.915</v>
      </c>
      <c r="H22" s="15">
        <f t="shared" ref="H22:H27" si="4">M22+N22+O22+P22+Q22+R22+S22+T22+U22</f>
        <v>6.5419999999999998</v>
      </c>
      <c r="I22" s="15">
        <v>2.06</v>
      </c>
      <c r="J22" s="15"/>
      <c r="K22" s="15"/>
      <c r="L22" s="117">
        <v>0</v>
      </c>
      <c r="M22" s="15">
        <v>4.2949999999999999</v>
      </c>
      <c r="N22" s="15">
        <v>0</v>
      </c>
      <c r="O22" s="15">
        <v>0</v>
      </c>
      <c r="P22" s="15">
        <v>0</v>
      </c>
      <c r="Q22" s="15">
        <v>0</v>
      </c>
      <c r="R22" s="15">
        <v>0</v>
      </c>
      <c r="S22" s="15">
        <v>3.7999999999999999E-2</v>
      </c>
      <c r="T22" s="15">
        <v>0</v>
      </c>
      <c r="U22" s="15">
        <v>2.2090000000000001</v>
      </c>
      <c r="V22" s="175"/>
      <c r="W22" s="85"/>
      <c r="X22" s="27"/>
      <c r="Y22" s="27"/>
    </row>
    <row r="23" spans="1:26" s="28" customFormat="1" x14ac:dyDescent="0.25">
      <c r="A23" s="24" t="s">
        <v>76</v>
      </c>
      <c r="B23" s="24" t="s">
        <v>77</v>
      </c>
      <c r="C23" s="24" t="s">
        <v>201</v>
      </c>
      <c r="D23" s="24" t="s">
        <v>46</v>
      </c>
      <c r="E23" s="25">
        <v>0.75</v>
      </c>
      <c r="F23" s="24" t="s">
        <v>2</v>
      </c>
      <c r="G23" s="15">
        <v>0.51300000000000001</v>
      </c>
      <c r="H23" s="15">
        <f t="shared" si="4"/>
        <v>0.27</v>
      </c>
      <c r="I23" s="15">
        <v>0</v>
      </c>
      <c r="J23" s="15"/>
      <c r="K23" s="15">
        <v>0.124</v>
      </c>
      <c r="L23" s="117">
        <v>0</v>
      </c>
      <c r="M23" s="15">
        <v>0.13300000000000001</v>
      </c>
      <c r="N23" s="15">
        <v>0.13400000000000001</v>
      </c>
      <c r="O23" s="15">
        <v>0</v>
      </c>
      <c r="P23" s="15">
        <v>0</v>
      </c>
      <c r="Q23" s="15">
        <v>0</v>
      </c>
      <c r="R23" s="15">
        <v>0</v>
      </c>
      <c r="S23" s="15">
        <v>3.0000000000000001E-3</v>
      </c>
      <c r="T23" s="15">
        <v>0</v>
      </c>
      <c r="U23" s="15">
        <v>0</v>
      </c>
      <c r="V23" s="175"/>
      <c r="W23" s="85"/>
      <c r="X23" s="27"/>
      <c r="Y23" s="27"/>
    </row>
    <row r="24" spans="1:26" s="28" customFormat="1" x14ac:dyDescent="0.25">
      <c r="A24" s="24" t="s">
        <v>78</v>
      </c>
      <c r="B24" s="24" t="s">
        <v>79</v>
      </c>
      <c r="C24" s="24" t="s">
        <v>80</v>
      </c>
      <c r="D24" s="24" t="s">
        <v>46</v>
      </c>
      <c r="E24" s="25">
        <v>0.15</v>
      </c>
      <c r="F24" s="24" t="s">
        <v>2</v>
      </c>
      <c r="G24" s="15">
        <v>0.13800000000000001</v>
      </c>
      <c r="H24" s="15">
        <f t="shared" si="4"/>
        <v>0.13800000000000001</v>
      </c>
      <c r="I24" s="15">
        <v>0</v>
      </c>
      <c r="J24" s="15"/>
      <c r="K24" s="15"/>
      <c r="L24" s="117">
        <v>0</v>
      </c>
      <c r="M24" s="15">
        <v>0</v>
      </c>
      <c r="N24" s="15">
        <v>0.13800000000000001</v>
      </c>
      <c r="O24" s="15">
        <v>0</v>
      </c>
      <c r="P24" s="15">
        <v>0</v>
      </c>
      <c r="Q24" s="15">
        <v>0</v>
      </c>
      <c r="R24" s="15">
        <v>0</v>
      </c>
      <c r="S24" s="15">
        <v>0</v>
      </c>
      <c r="T24" s="15">
        <v>0</v>
      </c>
      <c r="U24" s="15">
        <v>0</v>
      </c>
      <c r="V24" s="175"/>
      <c r="W24" s="85"/>
      <c r="X24" s="27"/>
      <c r="Y24" s="27"/>
    </row>
    <row r="25" spans="1:26" s="28" customFormat="1" x14ac:dyDescent="0.25">
      <c r="A25" s="24" t="s">
        <v>81</v>
      </c>
      <c r="B25" s="24" t="s">
        <v>82</v>
      </c>
      <c r="C25" s="24" t="s">
        <v>83</v>
      </c>
      <c r="D25" s="24" t="s">
        <v>46</v>
      </c>
      <c r="E25" s="25">
        <v>0.1</v>
      </c>
      <c r="F25" s="24" t="s">
        <v>2</v>
      </c>
      <c r="G25" s="15">
        <v>4.2999999999999997E-2</v>
      </c>
      <c r="H25" s="15">
        <f t="shared" si="4"/>
        <v>4.2999999999999997E-2</v>
      </c>
      <c r="I25" s="15">
        <v>0</v>
      </c>
      <c r="J25" s="15"/>
      <c r="K25" s="15"/>
      <c r="L25" s="117">
        <v>0</v>
      </c>
      <c r="M25" s="15">
        <v>0</v>
      </c>
      <c r="N25" s="15">
        <v>0</v>
      </c>
      <c r="O25" s="15">
        <v>0</v>
      </c>
      <c r="P25" s="15">
        <v>0</v>
      </c>
      <c r="Q25" s="15">
        <v>4.2999999999999997E-2</v>
      </c>
      <c r="R25" s="15">
        <v>0</v>
      </c>
      <c r="S25" s="15">
        <v>0</v>
      </c>
      <c r="T25" s="15">
        <v>0</v>
      </c>
      <c r="U25" s="15">
        <v>0</v>
      </c>
      <c r="V25" s="175"/>
      <c r="W25" s="85"/>
      <c r="X25" s="27"/>
      <c r="Y25" s="27"/>
    </row>
    <row r="26" spans="1:26" s="28" customFormat="1" ht="15.75" x14ac:dyDescent="0.25">
      <c r="A26" s="24" t="s">
        <v>84</v>
      </c>
      <c r="B26" s="24" t="s">
        <v>85</v>
      </c>
      <c r="C26" s="24" t="s">
        <v>86</v>
      </c>
      <c r="D26" s="24" t="s">
        <v>46</v>
      </c>
      <c r="E26" s="25">
        <v>0.15</v>
      </c>
      <c r="F26" s="24" t="s">
        <v>2</v>
      </c>
      <c r="G26" s="15">
        <v>0.10100000000000001</v>
      </c>
      <c r="H26" s="15">
        <f t="shared" si="4"/>
        <v>0.10100000000000001</v>
      </c>
      <c r="I26" s="15">
        <v>0</v>
      </c>
      <c r="J26" s="15"/>
      <c r="K26" s="15"/>
      <c r="L26" s="117">
        <v>0</v>
      </c>
      <c r="M26" s="15">
        <v>0</v>
      </c>
      <c r="N26" s="15">
        <v>0</v>
      </c>
      <c r="O26" s="15">
        <v>0</v>
      </c>
      <c r="P26" s="15">
        <v>0</v>
      </c>
      <c r="Q26" s="15">
        <v>0.10100000000000001</v>
      </c>
      <c r="R26" s="15">
        <v>0</v>
      </c>
      <c r="S26" s="15">
        <v>0</v>
      </c>
      <c r="T26" s="15">
        <v>0</v>
      </c>
      <c r="U26" s="15">
        <v>0</v>
      </c>
      <c r="V26" s="175"/>
      <c r="W26" s="89"/>
      <c r="X26" s="77"/>
      <c r="Y26" s="77"/>
      <c r="Z26"/>
    </row>
    <row r="27" spans="1:26" x14ac:dyDescent="0.25">
      <c r="A27" s="24" t="s">
        <v>87</v>
      </c>
      <c r="B27" s="24" t="s">
        <v>88</v>
      </c>
      <c r="C27" s="24" t="s">
        <v>89</v>
      </c>
      <c r="D27" s="24" t="s">
        <v>46</v>
      </c>
      <c r="E27" s="25">
        <v>0.33</v>
      </c>
      <c r="F27" s="24" t="s">
        <v>2</v>
      </c>
      <c r="G27" s="15">
        <v>0.222</v>
      </c>
      <c r="H27" s="15">
        <f t="shared" si="4"/>
        <v>0.222</v>
      </c>
      <c r="I27" s="15">
        <v>0</v>
      </c>
      <c r="J27" s="15"/>
      <c r="K27" s="15"/>
      <c r="L27" s="117">
        <v>0</v>
      </c>
      <c r="M27" s="15">
        <v>0</v>
      </c>
      <c r="N27" s="15">
        <v>0.222</v>
      </c>
      <c r="O27" s="15">
        <v>0</v>
      </c>
      <c r="P27" s="15">
        <v>0</v>
      </c>
      <c r="Q27" s="15">
        <v>0</v>
      </c>
      <c r="R27" s="15">
        <v>0</v>
      </c>
      <c r="S27" s="15">
        <v>0</v>
      </c>
      <c r="T27" s="15">
        <v>0</v>
      </c>
      <c r="U27" s="15">
        <v>0</v>
      </c>
      <c r="V27" s="175"/>
      <c r="W27" s="85"/>
      <c r="X27" s="27"/>
      <c r="Y27" s="27"/>
      <c r="Z27" s="28"/>
    </row>
    <row r="28" spans="1:26" s="28" customFormat="1" x14ac:dyDescent="0.25">
      <c r="A28" s="108" t="s">
        <v>19</v>
      </c>
      <c r="B28" s="122" t="s">
        <v>352</v>
      </c>
      <c r="C28" s="29" t="s">
        <v>28</v>
      </c>
      <c r="D28" s="29" t="s">
        <v>31</v>
      </c>
      <c r="E28" s="115">
        <v>56</v>
      </c>
      <c r="F28" s="121" t="s">
        <v>2</v>
      </c>
      <c r="G28" s="15">
        <v>23.975999999999999</v>
      </c>
      <c r="H28" s="15">
        <f>U28+T28+S28+R28+Q28+P28+O28+N28+M28</f>
        <v>8.6329999999999991</v>
      </c>
      <c r="I28" s="15">
        <v>0</v>
      </c>
      <c r="J28" s="15">
        <v>0</v>
      </c>
      <c r="K28" s="177">
        <v>15.313000000000001</v>
      </c>
      <c r="L28" s="116">
        <v>0</v>
      </c>
      <c r="M28" s="112">
        <f>1.592+3.813</f>
        <v>5.4050000000000002</v>
      </c>
      <c r="N28" s="112">
        <v>2.105</v>
      </c>
      <c r="O28" s="111">
        <v>0</v>
      </c>
      <c r="P28" s="112">
        <v>0.30499999999999999</v>
      </c>
      <c r="Q28" s="111">
        <v>0</v>
      </c>
      <c r="R28" s="112">
        <v>0</v>
      </c>
      <c r="S28" s="112">
        <f>0.803+0.015</f>
        <v>0.81800000000000006</v>
      </c>
      <c r="T28" s="112">
        <v>0</v>
      </c>
      <c r="U28" s="112">
        <v>0</v>
      </c>
      <c r="V28" s="168" t="s">
        <v>353</v>
      </c>
      <c r="W28" s="88"/>
      <c r="X28" s="18"/>
      <c r="Y28" s="18"/>
      <c r="Z28"/>
    </row>
    <row r="29" spans="1:26" s="28" customFormat="1" x14ac:dyDescent="0.25">
      <c r="A29" s="108" t="s">
        <v>23</v>
      </c>
      <c r="B29" s="108" t="s">
        <v>37</v>
      </c>
      <c r="C29" s="108" t="s">
        <v>30</v>
      </c>
      <c r="D29" s="108" t="s">
        <v>31</v>
      </c>
      <c r="E29" s="114">
        <v>20</v>
      </c>
      <c r="F29" s="108" t="s">
        <v>2</v>
      </c>
      <c r="G29" s="15">
        <v>11.257999999999999</v>
      </c>
      <c r="H29" s="15">
        <f>U29+T29+S29+R29+Q29+P29+O29+N29+M29</f>
        <v>11.305999999999999</v>
      </c>
      <c r="I29" s="15">
        <v>0.05</v>
      </c>
      <c r="J29" s="15">
        <v>0</v>
      </c>
      <c r="K29" s="15">
        <v>0</v>
      </c>
      <c r="L29" s="116">
        <v>0</v>
      </c>
      <c r="M29" s="112">
        <v>0</v>
      </c>
      <c r="N29" s="112">
        <v>0.752</v>
      </c>
      <c r="O29" s="112">
        <v>0</v>
      </c>
      <c r="P29" s="112">
        <v>0</v>
      </c>
      <c r="Q29" s="112">
        <v>5.8</v>
      </c>
      <c r="R29" s="112">
        <v>0</v>
      </c>
      <c r="S29" s="112">
        <v>3.218</v>
      </c>
      <c r="T29" s="112">
        <v>0</v>
      </c>
      <c r="U29" s="112">
        <v>1.536</v>
      </c>
      <c r="V29" s="169" t="s">
        <v>336</v>
      </c>
      <c r="W29" s="85"/>
      <c r="X29" s="27"/>
      <c r="Y29" s="27"/>
    </row>
    <row r="30" spans="1:26" ht="15.75" x14ac:dyDescent="0.25">
      <c r="A30" s="96" t="s">
        <v>300</v>
      </c>
      <c r="B30" s="96"/>
      <c r="C30" s="96"/>
      <c r="D30" s="96"/>
      <c r="E30" s="97">
        <f>SUM(E15:E29)</f>
        <v>156.98000000000002</v>
      </c>
      <c r="F30" s="97" t="s">
        <v>330</v>
      </c>
      <c r="G30" s="97">
        <f t="shared" ref="G30:U30" si="5">SUM(G15:G29)</f>
        <v>89.861999999999995</v>
      </c>
      <c r="H30" s="97">
        <f t="shared" si="5"/>
        <v>97.908999999999992</v>
      </c>
      <c r="I30" s="97">
        <f t="shared" si="5"/>
        <v>8.2200000000000006</v>
      </c>
      <c r="J30" s="97">
        <f t="shared" si="5"/>
        <v>28.112000000000002</v>
      </c>
      <c r="K30" s="97">
        <f t="shared" si="5"/>
        <v>27.837000000000003</v>
      </c>
      <c r="L30" s="97">
        <f t="shared" si="5"/>
        <v>0</v>
      </c>
      <c r="M30" s="97">
        <f t="shared" si="5"/>
        <v>46.676000000000002</v>
      </c>
      <c r="N30" s="97">
        <f t="shared" si="5"/>
        <v>6.3339999999999996</v>
      </c>
      <c r="O30" s="97">
        <f>SUM(O15:O29)</f>
        <v>0</v>
      </c>
      <c r="P30" s="97">
        <f t="shared" si="5"/>
        <v>0.40500000000000003</v>
      </c>
      <c r="Q30" s="97">
        <f t="shared" si="5"/>
        <v>18.893999999999998</v>
      </c>
      <c r="R30" s="97">
        <f t="shared" si="5"/>
        <v>0</v>
      </c>
      <c r="S30" s="97">
        <f t="shared" si="5"/>
        <v>11.477</v>
      </c>
      <c r="T30" s="97">
        <f t="shared" si="5"/>
        <v>10.347999999999999</v>
      </c>
      <c r="U30" s="97">
        <f t="shared" si="5"/>
        <v>3.7749999999999999</v>
      </c>
      <c r="V30" s="98"/>
      <c r="W30" s="138"/>
      <c r="X30" s="143"/>
      <c r="Y30" s="143"/>
      <c r="Z30" s="80"/>
    </row>
    <row r="31" spans="1:26" s="28" customFormat="1" x14ac:dyDescent="0.25">
      <c r="A31" s="108" t="s">
        <v>14</v>
      </c>
      <c r="B31" s="108" t="s">
        <v>39</v>
      </c>
      <c r="C31" s="108" t="s">
        <v>27</v>
      </c>
      <c r="D31" s="108" t="s">
        <v>31</v>
      </c>
      <c r="E31" s="110">
        <v>13</v>
      </c>
      <c r="F31" s="108" t="s">
        <v>3</v>
      </c>
      <c r="G31" s="26">
        <f>11.615+1.264</f>
        <v>12.879</v>
      </c>
      <c r="H31" s="15">
        <f>U31+T31+S31+R31+Q31+P31+O31+N31+M31</f>
        <v>16.407</v>
      </c>
      <c r="I31" s="15">
        <v>0</v>
      </c>
      <c r="J31" s="26">
        <f>3.528+1.264</f>
        <v>4.7919999999999998</v>
      </c>
      <c r="K31" s="15">
        <v>0</v>
      </c>
      <c r="L31" s="116">
        <v>0</v>
      </c>
      <c r="M31" s="150">
        <f>1.902+2.231</f>
        <v>4.133</v>
      </c>
      <c r="N31" s="150">
        <v>3.2679999999999998</v>
      </c>
      <c r="O31" s="112">
        <v>0</v>
      </c>
      <c r="P31" s="150">
        <v>0.51600000000000001</v>
      </c>
      <c r="Q31" s="150">
        <v>6.0110000000000001</v>
      </c>
      <c r="R31" s="112">
        <v>0</v>
      </c>
      <c r="S31" s="150">
        <v>2.4790000000000001</v>
      </c>
      <c r="T31" s="112">
        <v>0</v>
      </c>
      <c r="U31" s="112">
        <v>0</v>
      </c>
      <c r="V31" s="168" t="s">
        <v>333</v>
      </c>
      <c r="W31" s="85"/>
      <c r="X31" s="27"/>
      <c r="Y31" s="27"/>
    </row>
    <row r="32" spans="1:26" s="28" customFormat="1" x14ac:dyDescent="0.25">
      <c r="A32" s="108" t="s">
        <v>10</v>
      </c>
      <c r="B32" s="108" t="s">
        <v>40</v>
      </c>
      <c r="C32" s="108" t="s">
        <v>27</v>
      </c>
      <c r="D32" s="108" t="s">
        <v>31</v>
      </c>
      <c r="E32" s="110">
        <v>6</v>
      </c>
      <c r="F32" s="108" t="s">
        <v>3</v>
      </c>
      <c r="G32" s="15">
        <v>4.1139999999999999</v>
      </c>
      <c r="H32" s="15">
        <f>U32+T32+S32+R32+Q32+P32+O32+N32+M32</f>
        <v>4.633</v>
      </c>
      <c r="I32" s="15">
        <v>0.51900000000000002</v>
      </c>
      <c r="J32" s="15">
        <v>0</v>
      </c>
      <c r="K32" s="15">
        <v>0</v>
      </c>
      <c r="L32" s="117">
        <v>0</v>
      </c>
      <c r="M32" s="112">
        <f>3.377+0.032</f>
        <v>3.4089999999999998</v>
      </c>
      <c r="N32" s="112">
        <v>0.254</v>
      </c>
      <c r="O32" s="112">
        <v>0</v>
      </c>
      <c r="P32" s="112">
        <v>0</v>
      </c>
      <c r="Q32" s="112">
        <v>0.97</v>
      </c>
      <c r="R32" s="112">
        <v>0</v>
      </c>
      <c r="S32" s="112">
        <v>0</v>
      </c>
      <c r="T32" s="112">
        <v>0</v>
      </c>
      <c r="U32" s="112">
        <v>0</v>
      </c>
      <c r="V32" s="169" t="s">
        <v>328</v>
      </c>
      <c r="W32" s="86"/>
      <c r="X32" s="30"/>
      <c r="Y32" s="30"/>
    </row>
    <row r="33" spans="1:26" s="13" customFormat="1" ht="15" customHeight="1" x14ac:dyDescent="0.25">
      <c r="A33" s="108" t="s">
        <v>18</v>
      </c>
      <c r="B33" s="108" t="s">
        <v>41</v>
      </c>
      <c r="C33" s="108" t="s">
        <v>27</v>
      </c>
      <c r="D33" s="108" t="s">
        <v>31</v>
      </c>
      <c r="E33" s="110">
        <v>1.5</v>
      </c>
      <c r="F33" s="108" t="s">
        <v>3</v>
      </c>
      <c r="G33" s="15">
        <v>1.028</v>
      </c>
      <c r="H33" s="15">
        <f>U33+T33+S33+R33+Q33+P33+O33+N33+M33</f>
        <v>1.03</v>
      </c>
      <c r="I33" s="15">
        <v>2E-3</v>
      </c>
      <c r="J33" s="15">
        <v>0</v>
      </c>
      <c r="K33" s="15">
        <v>0</v>
      </c>
      <c r="L33" s="117">
        <v>0</v>
      </c>
      <c r="M33" s="112">
        <f>0.34+0.028</f>
        <v>0.36800000000000005</v>
      </c>
      <c r="N33" s="112">
        <v>0.182</v>
      </c>
      <c r="O33" s="112">
        <v>0</v>
      </c>
      <c r="P33" s="112">
        <v>0</v>
      </c>
      <c r="Q33" s="112">
        <v>0.48</v>
      </c>
      <c r="R33" s="112">
        <v>0</v>
      </c>
      <c r="S33" s="112">
        <v>0</v>
      </c>
      <c r="T33" s="112">
        <v>0</v>
      </c>
      <c r="U33" s="112">
        <v>0</v>
      </c>
      <c r="V33" s="169" t="s">
        <v>329</v>
      </c>
      <c r="W33" s="85"/>
      <c r="X33" s="27"/>
      <c r="Y33" s="27"/>
      <c r="Z33" s="27"/>
    </row>
    <row r="34" spans="1:26" s="28" customFormat="1" x14ac:dyDescent="0.25">
      <c r="A34" s="108" t="s">
        <v>21</v>
      </c>
      <c r="B34" s="108" t="s">
        <v>342</v>
      </c>
      <c r="C34" s="108" t="s">
        <v>335</v>
      </c>
      <c r="D34" s="108" t="s">
        <v>31</v>
      </c>
      <c r="E34" s="110">
        <v>7.6</v>
      </c>
      <c r="F34" s="108" t="s">
        <v>3</v>
      </c>
      <c r="G34" s="15">
        <v>4.0389999999999997</v>
      </c>
      <c r="H34" s="15">
        <f>U34+T34+S34+R34+Q34+P34+O34+N34+M34</f>
        <v>4.0270000000000001</v>
      </c>
      <c r="I34" s="15">
        <v>0</v>
      </c>
      <c r="J34" s="15">
        <v>0</v>
      </c>
      <c r="K34" s="15">
        <v>0</v>
      </c>
      <c r="L34" s="117">
        <v>0.27400000000000002</v>
      </c>
      <c r="M34" s="112">
        <v>3.722</v>
      </c>
      <c r="N34" s="112">
        <v>0.30499999999999999</v>
      </c>
      <c r="O34" s="112">
        <v>0</v>
      </c>
      <c r="P34" s="112">
        <v>0</v>
      </c>
      <c r="Q34" s="112">
        <v>0</v>
      </c>
      <c r="R34" s="112">
        <v>0</v>
      </c>
      <c r="S34" s="112">
        <v>0</v>
      </c>
      <c r="T34" s="112">
        <v>0</v>
      </c>
      <c r="U34" s="112">
        <v>0</v>
      </c>
      <c r="V34" s="168" t="s">
        <v>334</v>
      </c>
      <c r="W34" s="87"/>
      <c r="X34" s="31"/>
      <c r="Y34" s="31"/>
    </row>
    <row r="35" spans="1:26" s="28" customFormat="1" x14ac:dyDescent="0.25">
      <c r="A35" s="108" t="s">
        <v>305</v>
      </c>
      <c r="B35" s="108" t="s">
        <v>315</v>
      </c>
      <c r="C35" s="108" t="s">
        <v>315</v>
      </c>
      <c r="D35" s="108" t="s">
        <v>31</v>
      </c>
      <c r="E35" s="110">
        <v>0.3</v>
      </c>
      <c r="F35" s="108" t="s">
        <v>3</v>
      </c>
      <c r="G35" s="15">
        <v>0.15</v>
      </c>
      <c r="H35" s="15">
        <f>U35+T35+S35+R35+Q35+P35+O35+N35+M35</f>
        <v>0.15</v>
      </c>
      <c r="I35" s="15">
        <v>0</v>
      </c>
      <c r="J35" s="15">
        <v>0</v>
      </c>
      <c r="K35" s="15">
        <v>0</v>
      </c>
      <c r="L35" s="117">
        <v>0</v>
      </c>
      <c r="M35" s="109">
        <f>0.05+0.01</f>
        <v>6.0000000000000005E-2</v>
      </c>
      <c r="N35" s="109">
        <v>0.09</v>
      </c>
      <c r="O35" s="112">
        <v>0</v>
      </c>
      <c r="P35" s="112">
        <v>0</v>
      </c>
      <c r="Q35" s="112">
        <v>0</v>
      </c>
      <c r="R35" s="112">
        <v>0</v>
      </c>
      <c r="S35" s="112">
        <v>0</v>
      </c>
      <c r="T35" s="112">
        <v>0</v>
      </c>
      <c r="U35" s="112">
        <v>0</v>
      </c>
      <c r="V35" s="168" t="s">
        <v>327</v>
      </c>
      <c r="W35" s="85"/>
      <c r="X35" s="27"/>
      <c r="Y35" s="27"/>
    </row>
    <row r="36" spans="1:26" s="28" customFormat="1" ht="23.25" thickBot="1" x14ac:dyDescent="0.3">
      <c r="A36" s="108" t="s">
        <v>24</v>
      </c>
      <c r="B36" s="108" t="s">
        <v>42</v>
      </c>
      <c r="C36" s="108" t="s">
        <v>27</v>
      </c>
      <c r="D36" s="108" t="s">
        <v>31</v>
      </c>
      <c r="E36" s="110">
        <v>5</v>
      </c>
      <c r="F36" s="108" t="s">
        <v>3</v>
      </c>
      <c r="G36" s="15">
        <v>3.528</v>
      </c>
      <c r="H36" s="125" t="s">
        <v>350</v>
      </c>
      <c r="I36" s="15">
        <v>0</v>
      </c>
      <c r="J36" s="15">
        <v>0</v>
      </c>
      <c r="K36" s="26">
        <v>3.528</v>
      </c>
      <c r="L36" s="116">
        <v>0</v>
      </c>
      <c r="M36" s="125" t="s">
        <v>350</v>
      </c>
      <c r="N36" s="125" t="s">
        <v>350</v>
      </c>
      <c r="O36" s="112">
        <v>0</v>
      </c>
      <c r="P36" s="125" t="s">
        <v>350</v>
      </c>
      <c r="Q36" s="125" t="s">
        <v>350</v>
      </c>
      <c r="R36" s="112">
        <v>0</v>
      </c>
      <c r="S36" s="125" t="s">
        <v>350</v>
      </c>
      <c r="T36" s="112">
        <v>0</v>
      </c>
      <c r="U36" s="112">
        <v>0</v>
      </c>
      <c r="V36" s="168" t="s">
        <v>317</v>
      </c>
      <c r="W36" s="86"/>
      <c r="X36" s="30"/>
      <c r="Y36" s="30"/>
    </row>
    <row r="37" spans="1:26" s="80" customFormat="1" ht="24.75" customHeight="1" thickBot="1" x14ac:dyDescent="0.3">
      <c r="A37" s="108" t="s">
        <v>7</v>
      </c>
      <c r="B37" s="108" t="s">
        <v>43</v>
      </c>
      <c r="C37" s="108" t="s">
        <v>27</v>
      </c>
      <c r="D37" s="108" t="s">
        <v>31</v>
      </c>
      <c r="E37" s="110">
        <v>3</v>
      </c>
      <c r="F37" s="108" t="s">
        <v>3</v>
      </c>
      <c r="G37" s="15">
        <v>2.7970000000000002</v>
      </c>
      <c r="H37" s="125" t="s">
        <v>349</v>
      </c>
      <c r="I37" s="150">
        <v>0</v>
      </c>
      <c r="J37" s="125" t="s">
        <v>349</v>
      </c>
      <c r="K37" s="15">
        <v>2.7970000000000002</v>
      </c>
      <c r="L37" s="125" t="s">
        <v>349</v>
      </c>
      <c r="M37" s="125" t="s">
        <v>349</v>
      </c>
      <c r="N37" s="125" t="s">
        <v>349</v>
      </c>
      <c r="O37" s="112">
        <v>0</v>
      </c>
      <c r="P37" s="150">
        <v>0</v>
      </c>
      <c r="Q37" s="125" t="s">
        <v>349</v>
      </c>
      <c r="R37" s="112">
        <v>0</v>
      </c>
      <c r="S37" s="150">
        <v>0</v>
      </c>
      <c r="T37" s="112">
        <v>0</v>
      </c>
      <c r="U37" s="112">
        <v>0</v>
      </c>
      <c r="V37" s="168"/>
      <c r="W37" s="139"/>
      <c r="X37" s="144"/>
      <c r="Y37" s="146"/>
      <c r="Z37" s="28"/>
    </row>
    <row r="38" spans="1:26" s="28" customFormat="1" x14ac:dyDescent="0.25">
      <c r="A38" s="108" t="s">
        <v>13</v>
      </c>
      <c r="B38" s="108" t="s">
        <v>44</v>
      </c>
      <c r="C38" s="108" t="s">
        <v>27</v>
      </c>
      <c r="D38" s="108" t="s">
        <v>31</v>
      </c>
      <c r="E38" s="110">
        <v>0.499</v>
      </c>
      <c r="F38" s="108" t="s">
        <v>3</v>
      </c>
      <c r="G38" s="15">
        <v>0.222</v>
      </c>
      <c r="H38" s="15">
        <f>U38+T38+S38+R38+Q38+P38+O38+N38+M38</f>
        <v>0.59299999999999997</v>
      </c>
      <c r="I38" s="15">
        <v>0.371</v>
      </c>
      <c r="J38" s="15">
        <v>0</v>
      </c>
      <c r="K38" s="15">
        <v>0</v>
      </c>
      <c r="L38" s="116">
        <v>0</v>
      </c>
      <c r="M38" s="112">
        <v>0.58799999999999997</v>
      </c>
      <c r="N38" s="112">
        <v>0</v>
      </c>
      <c r="O38" s="112">
        <v>0</v>
      </c>
      <c r="P38" s="112">
        <v>0</v>
      </c>
      <c r="Q38" s="112">
        <v>5.0000000000000001E-3</v>
      </c>
      <c r="R38" s="112">
        <v>0</v>
      </c>
      <c r="S38" s="112">
        <v>0</v>
      </c>
      <c r="T38" s="112">
        <v>0</v>
      </c>
      <c r="U38" s="112">
        <v>0</v>
      </c>
      <c r="V38" s="169" t="s">
        <v>328</v>
      </c>
      <c r="W38" s="164"/>
      <c r="X38" s="165"/>
      <c r="Y38" s="165"/>
      <c r="Z38" s="21"/>
    </row>
    <row r="39" spans="1:26" s="28" customFormat="1" ht="17.25" customHeight="1" x14ac:dyDescent="0.25">
      <c r="A39" s="113" t="s">
        <v>331</v>
      </c>
      <c r="B39" s="124" t="s">
        <v>343</v>
      </c>
      <c r="C39" s="130" t="s">
        <v>27</v>
      </c>
      <c r="D39" s="130" t="s">
        <v>31</v>
      </c>
      <c r="E39" s="123" t="s">
        <v>330</v>
      </c>
      <c r="F39" s="130" t="s">
        <v>3</v>
      </c>
      <c r="G39" s="26">
        <v>0</v>
      </c>
      <c r="H39" s="111">
        <f>U39+T39+S39+R39+Q39+P39+O39+N39+M39</f>
        <v>2.0034999999999998</v>
      </c>
      <c r="I39" s="152">
        <v>0</v>
      </c>
      <c r="J39" s="152">
        <f>(2.797+1.665+0.809)*0.5</f>
        <v>2.6355</v>
      </c>
      <c r="K39" s="152">
        <v>1.264</v>
      </c>
      <c r="L39" s="111">
        <v>0</v>
      </c>
      <c r="M39" s="152">
        <f>(3.363+0.023)*0.5</f>
        <v>1.6930000000000001</v>
      </c>
      <c r="N39" s="152">
        <f>0.5*0.163</f>
        <v>8.1500000000000003E-2</v>
      </c>
      <c r="O39" s="111">
        <v>0</v>
      </c>
      <c r="P39" s="152">
        <v>0</v>
      </c>
      <c r="Q39" s="152">
        <f>0.458*0.5</f>
        <v>0.22900000000000001</v>
      </c>
      <c r="R39" s="111">
        <v>0</v>
      </c>
      <c r="S39" s="111">
        <v>0</v>
      </c>
      <c r="T39" s="111">
        <v>0</v>
      </c>
      <c r="U39" s="111">
        <v>0</v>
      </c>
      <c r="V39" s="178" t="s">
        <v>332</v>
      </c>
      <c r="W39" s="85"/>
      <c r="X39" s="27"/>
      <c r="Y39" s="27"/>
    </row>
    <row r="40" spans="1:26" ht="15.75" x14ac:dyDescent="0.25">
      <c r="A40" s="96" t="s">
        <v>301</v>
      </c>
      <c r="B40" s="96"/>
      <c r="C40" s="96"/>
      <c r="D40" s="96"/>
      <c r="E40" s="97">
        <f>SUM(E31:E39)</f>
        <v>36.899000000000008</v>
      </c>
      <c r="F40" s="97" t="s">
        <v>330</v>
      </c>
      <c r="G40" s="97">
        <f t="shared" ref="G40:U40" si="6">SUM(G31:G39)</f>
        <v>28.756999999999994</v>
      </c>
      <c r="H40" s="97">
        <f t="shared" si="6"/>
        <v>28.843499999999999</v>
      </c>
      <c r="I40" s="97">
        <f t="shared" si="6"/>
        <v>0.89200000000000002</v>
      </c>
      <c r="J40" s="97">
        <f t="shared" si="6"/>
        <v>7.4275000000000002</v>
      </c>
      <c r="K40" s="97">
        <f t="shared" si="6"/>
        <v>7.5890000000000004</v>
      </c>
      <c r="L40" s="97">
        <f t="shared" si="6"/>
        <v>0.27400000000000002</v>
      </c>
      <c r="M40" s="97">
        <f t="shared" si="6"/>
        <v>13.972999999999999</v>
      </c>
      <c r="N40" s="97">
        <f t="shared" si="6"/>
        <v>4.1804999999999994</v>
      </c>
      <c r="O40" s="97">
        <f t="shared" si="6"/>
        <v>0</v>
      </c>
      <c r="P40" s="97">
        <f t="shared" si="6"/>
        <v>0.51600000000000001</v>
      </c>
      <c r="Q40" s="97">
        <f t="shared" si="6"/>
        <v>7.6950000000000003</v>
      </c>
      <c r="R40" s="97">
        <f t="shared" si="6"/>
        <v>0</v>
      </c>
      <c r="S40" s="97">
        <f t="shared" si="6"/>
        <v>2.4790000000000001</v>
      </c>
      <c r="T40" s="97">
        <f t="shared" si="6"/>
        <v>0</v>
      </c>
      <c r="U40" s="97">
        <f t="shared" si="6"/>
        <v>0</v>
      </c>
      <c r="V40" s="98"/>
      <c r="W40" s="138"/>
      <c r="X40" s="143"/>
      <c r="Y40" s="143"/>
      <c r="Z40" s="81"/>
    </row>
    <row r="41" spans="1:26" s="28" customFormat="1" ht="17.25" customHeight="1" x14ac:dyDescent="0.25">
      <c r="A41" s="108" t="s">
        <v>9</v>
      </c>
      <c r="B41" s="108" t="s">
        <v>206</v>
      </c>
      <c r="C41" s="24" t="s">
        <v>32</v>
      </c>
      <c r="D41" s="24" t="s">
        <v>31</v>
      </c>
      <c r="E41" s="110">
        <v>0.25</v>
      </c>
      <c r="F41" s="24" t="s">
        <v>4</v>
      </c>
      <c r="G41" s="15">
        <v>9.5399999999999999E-2</v>
      </c>
      <c r="H41" s="15">
        <f>U41+T41+S41+R41+Q41+P41+O41+N41+M41</f>
        <v>9.5399999999999999E-2</v>
      </c>
      <c r="I41" s="112">
        <v>0</v>
      </c>
      <c r="J41" s="15">
        <v>0</v>
      </c>
      <c r="K41" s="15">
        <v>0</v>
      </c>
      <c r="L41" s="112">
        <v>0</v>
      </c>
      <c r="M41" s="112">
        <v>0</v>
      </c>
      <c r="N41" s="112">
        <v>0</v>
      </c>
      <c r="O41" s="112">
        <v>0</v>
      </c>
      <c r="P41" s="112">
        <v>9.5399999999999999E-2</v>
      </c>
      <c r="Q41" s="112">
        <v>0</v>
      </c>
      <c r="R41" s="112">
        <v>0</v>
      </c>
      <c r="S41" s="112">
        <v>0</v>
      </c>
      <c r="T41" s="112">
        <v>0</v>
      </c>
      <c r="U41" s="112">
        <v>0</v>
      </c>
      <c r="V41" s="169"/>
      <c r="W41" s="85"/>
      <c r="X41" s="27"/>
      <c r="Y41" s="27"/>
    </row>
    <row r="42" spans="1:26" s="28" customFormat="1" x14ac:dyDescent="0.25">
      <c r="A42" s="105" t="s">
        <v>16</v>
      </c>
      <c r="B42" s="108" t="s">
        <v>17</v>
      </c>
      <c r="C42" s="106" t="s">
        <v>33</v>
      </c>
      <c r="D42" s="106" t="s">
        <v>31</v>
      </c>
      <c r="E42" s="107">
        <v>0.5</v>
      </c>
      <c r="F42" s="106" t="s">
        <v>4</v>
      </c>
      <c r="G42" s="15">
        <v>0.23300000000000001</v>
      </c>
      <c r="H42" s="15">
        <f>U42+T42+S42+R42+Q42+P42+O42+N42+M42</f>
        <v>0</v>
      </c>
      <c r="I42" s="109">
        <v>0</v>
      </c>
      <c r="J42" s="15">
        <v>0</v>
      </c>
      <c r="K42" s="15">
        <v>0</v>
      </c>
      <c r="L42" s="109">
        <v>0.23300000000000001</v>
      </c>
      <c r="M42" s="109">
        <v>0</v>
      </c>
      <c r="N42" s="109">
        <v>0</v>
      </c>
      <c r="O42" s="112">
        <v>0</v>
      </c>
      <c r="P42" s="112">
        <v>0</v>
      </c>
      <c r="Q42" s="112">
        <v>0</v>
      </c>
      <c r="R42" s="112">
        <v>0</v>
      </c>
      <c r="S42" s="112">
        <v>0</v>
      </c>
      <c r="T42" s="112">
        <v>0</v>
      </c>
      <c r="U42" s="112">
        <v>0</v>
      </c>
      <c r="V42" s="168" t="s">
        <v>341</v>
      </c>
      <c r="W42" s="85"/>
      <c r="X42" s="27"/>
      <c r="Y42" s="27"/>
    </row>
    <row r="43" spans="1:26" s="28" customFormat="1" x14ac:dyDescent="0.25">
      <c r="A43" s="108" t="s">
        <v>331</v>
      </c>
      <c r="B43" s="124" t="s">
        <v>344</v>
      </c>
      <c r="C43" s="130" t="s">
        <v>27</v>
      </c>
      <c r="D43" s="130" t="s">
        <v>31</v>
      </c>
      <c r="E43" s="123" t="s">
        <v>330</v>
      </c>
      <c r="F43" s="130" t="s">
        <v>4</v>
      </c>
      <c r="G43" s="26">
        <v>0</v>
      </c>
      <c r="H43" s="111">
        <f>U43+T43+S43+R43+Q43+P43+O43+N43+M43</f>
        <v>2.0034999999999998</v>
      </c>
      <c r="I43" s="152">
        <v>0</v>
      </c>
      <c r="J43" s="152">
        <f>(2.797+1.665+0.809)*0.5</f>
        <v>2.6355</v>
      </c>
      <c r="K43" s="111">
        <v>0</v>
      </c>
      <c r="L43" s="111">
        <v>0</v>
      </c>
      <c r="M43" s="152">
        <f>(3.363+0.023)*0.5</f>
        <v>1.6930000000000001</v>
      </c>
      <c r="N43" s="152">
        <f>0.5*0.163</f>
        <v>8.1500000000000003E-2</v>
      </c>
      <c r="O43" s="111">
        <v>0</v>
      </c>
      <c r="P43" s="152">
        <v>0</v>
      </c>
      <c r="Q43" s="152">
        <f>0.458*0.5</f>
        <v>0.22900000000000001</v>
      </c>
      <c r="R43" s="111">
        <v>0</v>
      </c>
      <c r="S43" s="111">
        <v>0</v>
      </c>
      <c r="T43" s="111">
        <v>0</v>
      </c>
      <c r="U43" s="111">
        <v>0</v>
      </c>
      <c r="V43" s="178"/>
      <c r="W43" s="85"/>
      <c r="X43" s="27"/>
      <c r="Y43" s="27"/>
    </row>
    <row r="44" spans="1:26" s="28" customFormat="1" x14ac:dyDescent="0.25">
      <c r="A44" s="108" t="s">
        <v>8</v>
      </c>
      <c r="B44" s="167" t="s">
        <v>45</v>
      </c>
      <c r="C44" s="24" t="s">
        <v>27</v>
      </c>
      <c r="D44" s="24" t="s">
        <v>31</v>
      </c>
      <c r="E44" s="110">
        <v>1.5</v>
      </c>
      <c r="F44" s="24" t="s">
        <v>4</v>
      </c>
      <c r="G44" s="15">
        <v>1.665</v>
      </c>
      <c r="H44" s="151" t="s">
        <v>349</v>
      </c>
      <c r="I44" s="150">
        <v>0</v>
      </c>
      <c r="J44" s="151" t="s">
        <v>349</v>
      </c>
      <c r="K44" s="12">
        <v>1.665</v>
      </c>
      <c r="L44" s="151" t="s">
        <v>349</v>
      </c>
      <c r="M44" s="151" t="s">
        <v>349</v>
      </c>
      <c r="N44" s="151" t="s">
        <v>349</v>
      </c>
      <c r="O44" s="112">
        <v>0</v>
      </c>
      <c r="P44" s="150">
        <v>0</v>
      </c>
      <c r="Q44" s="151" t="s">
        <v>349</v>
      </c>
      <c r="R44" s="112">
        <v>0</v>
      </c>
      <c r="S44" s="150">
        <v>0</v>
      </c>
      <c r="T44" s="112">
        <v>0</v>
      </c>
      <c r="U44" s="112">
        <v>0</v>
      </c>
      <c r="V44" s="168"/>
      <c r="W44" s="85"/>
      <c r="X44" s="27"/>
      <c r="Y44" s="27"/>
    </row>
    <row r="45" spans="1:26" s="21" customFormat="1" x14ac:dyDescent="0.25">
      <c r="A45" s="108" t="s">
        <v>6</v>
      </c>
      <c r="B45" s="167" t="s">
        <v>38</v>
      </c>
      <c r="C45" s="24" t="s">
        <v>27</v>
      </c>
      <c r="D45" s="24" t="s">
        <v>31</v>
      </c>
      <c r="E45" s="110">
        <v>0.85</v>
      </c>
      <c r="F45" s="24" t="s">
        <v>4</v>
      </c>
      <c r="G45" s="15">
        <v>0.80900000000000005</v>
      </c>
      <c r="H45" s="151" t="s">
        <v>349</v>
      </c>
      <c r="I45" s="150">
        <v>0</v>
      </c>
      <c r="J45" s="151" t="s">
        <v>349</v>
      </c>
      <c r="K45" s="12">
        <v>0.80900000000000005</v>
      </c>
      <c r="L45" s="151" t="s">
        <v>349</v>
      </c>
      <c r="M45" s="151" t="s">
        <v>349</v>
      </c>
      <c r="N45" s="151" t="s">
        <v>349</v>
      </c>
      <c r="O45" s="112">
        <v>0</v>
      </c>
      <c r="P45" s="153">
        <v>0</v>
      </c>
      <c r="Q45" s="151" t="s">
        <v>349</v>
      </c>
      <c r="R45" s="112">
        <v>0</v>
      </c>
      <c r="S45" s="153">
        <v>0</v>
      </c>
      <c r="T45" s="112">
        <v>0</v>
      </c>
      <c r="U45" s="112">
        <v>0</v>
      </c>
      <c r="V45" s="168"/>
      <c r="W45" s="86"/>
      <c r="X45" s="30"/>
      <c r="Y45" s="30"/>
      <c r="Z45" s="28"/>
    </row>
    <row r="46" spans="1:26" s="28" customFormat="1" ht="15.75" thickBot="1" x14ac:dyDescent="0.3">
      <c r="A46" s="8" t="s">
        <v>178</v>
      </c>
      <c r="B46" s="171" t="s">
        <v>238</v>
      </c>
      <c r="C46" s="8" t="s">
        <v>125</v>
      </c>
      <c r="D46" s="8" t="s">
        <v>123</v>
      </c>
      <c r="E46" s="11">
        <v>2.67</v>
      </c>
      <c r="F46" s="10" t="s">
        <v>4</v>
      </c>
      <c r="G46" s="12">
        <v>1.77</v>
      </c>
      <c r="H46" s="12">
        <f t="shared" ref="H46:H68" si="7">M46+N46+O46+P46+Q46+R46+S46+T46+U46</f>
        <v>1.5</v>
      </c>
      <c r="I46" s="12">
        <v>0</v>
      </c>
      <c r="J46" s="12"/>
      <c r="K46" s="12">
        <v>0.27</v>
      </c>
      <c r="L46" s="12">
        <v>0</v>
      </c>
      <c r="M46" s="12">
        <v>0.19</v>
      </c>
      <c r="N46" s="12">
        <v>0</v>
      </c>
      <c r="O46" s="12">
        <v>0</v>
      </c>
      <c r="P46" s="12">
        <v>0.81</v>
      </c>
      <c r="Q46" s="12">
        <v>0</v>
      </c>
      <c r="R46" s="12">
        <v>0</v>
      </c>
      <c r="S46" s="12">
        <v>0</v>
      </c>
      <c r="T46" s="12">
        <v>0.5</v>
      </c>
      <c r="U46" s="12">
        <v>0</v>
      </c>
      <c r="V46" s="180" t="s">
        <v>239</v>
      </c>
      <c r="W46" s="86"/>
      <c r="X46" s="30"/>
      <c r="Y46" s="30"/>
    </row>
    <row r="47" spans="1:26" s="81" customFormat="1" ht="30.75" thickBot="1" x14ac:dyDescent="0.3">
      <c r="A47" s="134" t="s">
        <v>124</v>
      </c>
      <c r="B47" s="179" t="s">
        <v>237</v>
      </c>
      <c r="C47" s="8" t="s">
        <v>125</v>
      </c>
      <c r="D47" s="8" t="s">
        <v>123</v>
      </c>
      <c r="E47" s="11">
        <v>1.4</v>
      </c>
      <c r="F47" s="10" t="s">
        <v>4</v>
      </c>
      <c r="G47" s="12">
        <v>0.66</v>
      </c>
      <c r="H47" s="12">
        <f t="shared" si="7"/>
        <v>1.28</v>
      </c>
      <c r="I47" s="12">
        <v>0.45</v>
      </c>
      <c r="J47" s="12">
        <v>0.27</v>
      </c>
      <c r="K47" s="12"/>
      <c r="L47" s="12">
        <v>0</v>
      </c>
      <c r="M47" s="12">
        <v>0</v>
      </c>
      <c r="N47" s="12">
        <v>0</v>
      </c>
      <c r="O47" s="12">
        <v>0</v>
      </c>
      <c r="P47" s="12">
        <v>0.5</v>
      </c>
      <c r="Q47" s="12">
        <v>0</v>
      </c>
      <c r="R47" s="12">
        <v>0</v>
      </c>
      <c r="S47" s="12">
        <v>0.78</v>
      </c>
      <c r="T47" s="12">
        <v>0</v>
      </c>
      <c r="U47" s="12">
        <v>0</v>
      </c>
      <c r="V47" s="181" t="s">
        <v>257</v>
      </c>
      <c r="W47" s="139"/>
      <c r="X47" s="144"/>
      <c r="Y47" s="146"/>
      <c r="Z47" s="28"/>
    </row>
    <row r="48" spans="1:26" s="28" customFormat="1" x14ac:dyDescent="0.25">
      <c r="A48" s="8" t="s">
        <v>144</v>
      </c>
      <c r="B48" s="171" t="s">
        <v>145</v>
      </c>
      <c r="C48" s="8" t="s">
        <v>146</v>
      </c>
      <c r="D48" s="8" t="s">
        <v>123</v>
      </c>
      <c r="E48" s="11">
        <v>4</v>
      </c>
      <c r="F48" s="10" t="s">
        <v>4</v>
      </c>
      <c r="G48" s="12">
        <v>2.2599999999999998</v>
      </c>
      <c r="H48" s="12">
        <f t="shared" si="7"/>
        <v>2.2599999999999998</v>
      </c>
      <c r="I48" s="12">
        <v>0</v>
      </c>
      <c r="J48" s="12"/>
      <c r="K48" s="12"/>
      <c r="L48" s="12">
        <v>0</v>
      </c>
      <c r="M48" s="12">
        <v>0</v>
      </c>
      <c r="N48" s="12">
        <v>0</v>
      </c>
      <c r="O48" s="12">
        <v>0</v>
      </c>
      <c r="P48" s="12">
        <v>0</v>
      </c>
      <c r="Q48" s="12">
        <v>0</v>
      </c>
      <c r="R48" s="12">
        <v>0</v>
      </c>
      <c r="S48" s="12">
        <v>2.2599999999999998</v>
      </c>
      <c r="T48" s="12">
        <v>0</v>
      </c>
      <c r="U48" s="12">
        <v>0</v>
      </c>
      <c r="V48" s="180"/>
      <c r="W48" s="87"/>
      <c r="X48" s="31"/>
      <c r="Y48" s="31"/>
    </row>
    <row r="49" spans="1:26" s="28" customFormat="1" ht="30" x14ac:dyDescent="0.25">
      <c r="A49" s="8" t="s">
        <v>161</v>
      </c>
      <c r="B49" s="171" t="s">
        <v>162</v>
      </c>
      <c r="C49" s="8" t="s">
        <v>163</v>
      </c>
      <c r="D49" s="8" t="s">
        <v>123</v>
      </c>
      <c r="E49" s="11">
        <v>7.4999999999999997E-2</v>
      </c>
      <c r="F49" s="10" t="s">
        <v>4</v>
      </c>
      <c r="G49" s="12">
        <v>0.02</v>
      </c>
      <c r="H49" s="12">
        <f t="shared" si="7"/>
        <v>0.02</v>
      </c>
      <c r="I49" s="12">
        <v>0</v>
      </c>
      <c r="J49" s="12"/>
      <c r="K49" s="12"/>
      <c r="L49" s="12"/>
      <c r="M49" s="12">
        <v>0</v>
      </c>
      <c r="N49" s="12">
        <v>0.02</v>
      </c>
      <c r="O49" s="12">
        <v>0</v>
      </c>
      <c r="P49" s="12">
        <v>0</v>
      </c>
      <c r="Q49" s="12">
        <v>0</v>
      </c>
      <c r="R49" s="12">
        <v>0</v>
      </c>
      <c r="S49" s="12">
        <v>0</v>
      </c>
      <c r="T49" s="12">
        <v>0</v>
      </c>
      <c r="U49" s="12">
        <v>0</v>
      </c>
      <c r="V49" s="181" t="s">
        <v>205</v>
      </c>
      <c r="W49" s="85"/>
      <c r="X49" s="27"/>
      <c r="Y49" s="27"/>
    </row>
    <row r="50" spans="1:26" s="28" customFormat="1" ht="19.5" customHeight="1" x14ac:dyDescent="0.25">
      <c r="A50" s="8" t="s">
        <v>190</v>
      </c>
      <c r="B50" s="171" t="s">
        <v>191</v>
      </c>
      <c r="C50" s="8" t="s">
        <v>192</v>
      </c>
      <c r="D50" s="8" t="s">
        <v>123</v>
      </c>
      <c r="E50" s="11">
        <v>0.52500000000000002</v>
      </c>
      <c r="F50" s="10" t="s">
        <v>4</v>
      </c>
      <c r="G50" s="12">
        <v>0.25</v>
      </c>
      <c r="H50" s="12">
        <f t="shared" si="7"/>
        <v>0.25</v>
      </c>
      <c r="I50" s="12">
        <v>0</v>
      </c>
      <c r="J50" s="12"/>
      <c r="K50" s="12"/>
      <c r="L50" s="12">
        <v>0</v>
      </c>
      <c r="M50" s="12">
        <v>0</v>
      </c>
      <c r="N50" s="12">
        <v>0</v>
      </c>
      <c r="O50" s="12">
        <v>0</v>
      </c>
      <c r="P50" s="12">
        <v>0</v>
      </c>
      <c r="Q50" s="12">
        <v>0.25</v>
      </c>
      <c r="R50" s="12">
        <v>0</v>
      </c>
      <c r="S50" s="12">
        <v>0</v>
      </c>
      <c r="T50" s="12">
        <v>0</v>
      </c>
      <c r="U50" s="12">
        <v>0</v>
      </c>
      <c r="V50" s="180"/>
      <c r="W50" s="85"/>
      <c r="X50" s="27"/>
      <c r="Y50" s="27"/>
    </row>
    <row r="51" spans="1:26" s="28" customFormat="1" ht="19.5" customHeight="1" x14ac:dyDescent="0.25">
      <c r="A51" s="8" t="s">
        <v>173</v>
      </c>
      <c r="B51" s="171" t="s">
        <v>174</v>
      </c>
      <c r="C51" s="8" t="s">
        <v>33</v>
      </c>
      <c r="D51" s="8" t="s">
        <v>123</v>
      </c>
      <c r="E51" s="11">
        <v>0.313</v>
      </c>
      <c r="F51" s="10" t="s">
        <v>4</v>
      </c>
      <c r="G51" s="12">
        <v>0.15</v>
      </c>
      <c r="H51" s="12">
        <f t="shared" si="7"/>
        <v>0.15</v>
      </c>
      <c r="I51" s="12">
        <v>0</v>
      </c>
      <c r="J51" s="12"/>
      <c r="K51" s="12"/>
      <c r="L51" s="12">
        <v>0</v>
      </c>
      <c r="M51" s="12">
        <v>0</v>
      </c>
      <c r="N51" s="12">
        <v>0</v>
      </c>
      <c r="O51" s="12">
        <v>0</v>
      </c>
      <c r="P51" s="12">
        <v>0</v>
      </c>
      <c r="Q51" s="12">
        <v>0.15</v>
      </c>
      <c r="R51" s="12">
        <v>0</v>
      </c>
      <c r="S51" s="12">
        <v>0</v>
      </c>
      <c r="T51" s="12">
        <v>0</v>
      </c>
      <c r="U51" s="12">
        <v>0</v>
      </c>
      <c r="V51" s="180"/>
      <c r="W51" s="88"/>
      <c r="X51" s="18"/>
      <c r="Y51" s="18"/>
      <c r="Z51"/>
    </row>
    <row r="52" spans="1:26" s="28" customFormat="1" x14ac:dyDescent="0.25">
      <c r="A52" s="8" t="s">
        <v>187</v>
      </c>
      <c r="B52" s="171" t="s">
        <v>188</v>
      </c>
      <c r="C52" s="8" t="s">
        <v>189</v>
      </c>
      <c r="D52" s="8" t="s">
        <v>123</v>
      </c>
      <c r="E52" s="11">
        <v>0.7</v>
      </c>
      <c r="F52" s="10" t="s">
        <v>4</v>
      </c>
      <c r="G52" s="12">
        <v>0.13</v>
      </c>
      <c r="H52" s="12">
        <f t="shared" si="7"/>
        <v>0.13</v>
      </c>
      <c r="I52" s="12">
        <v>0</v>
      </c>
      <c r="J52" s="12"/>
      <c r="K52" s="12"/>
      <c r="L52" s="12">
        <v>0</v>
      </c>
      <c r="M52" s="12">
        <v>0</v>
      </c>
      <c r="N52" s="12">
        <v>0</v>
      </c>
      <c r="O52" s="12">
        <v>0</v>
      </c>
      <c r="P52" s="12">
        <v>0</v>
      </c>
      <c r="Q52" s="12">
        <v>0.13</v>
      </c>
      <c r="R52" s="12">
        <v>0</v>
      </c>
      <c r="S52" s="12">
        <v>0</v>
      </c>
      <c r="T52" s="12">
        <v>0</v>
      </c>
      <c r="U52" s="12">
        <v>0</v>
      </c>
      <c r="V52" s="180"/>
      <c r="W52" s="85"/>
      <c r="X52" s="27"/>
      <c r="Y52" s="27"/>
    </row>
    <row r="53" spans="1:26" s="28" customFormat="1" x14ac:dyDescent="0.25">
      <c r="A53" s="8" t="s">
        <v>175</v>
      </c>
      <c r="B53" s="171" t="s">
        <v>176</v>
      </c>
      <c r="C53" s="8" t="s">
        <v>177</v>
      </c>
      <c r="D53" s="8" t="s">
        <v>123</v>
      </c>
      <c r="E53" s="11">
        <v>1</v>
      </c>
      <c r="F53" s="10" t="s">
        <v>4</v>
      </c>
      <c r="G53" s="12">
        <v>0.5</v>
      </c>
      <c r="H53" s="12">
        <f t="shared" si="7"/>
        <v>0.5</v>
      </c>
      <c r="I53" s="12">
        <v>0</v>
      </c>
      <c r="J53" s="12"/>
      <c r="K53" s="12"/>
      <c r="L53" s="12">
        <v>0</v>
      </c>
      <c r="M53" s="12">
        <v>0</v>
      </c>
      <c r="N53" s="12">
        <v>0</v>
      </c>
      <c r="O53" s="12">
        <v>0</v>
      </c>
      <c r="P53" s="12">
        <v>0</v>
      </c>
      <c r="Q53" s="12">
        <v>0</v>
      </c>
      <c r="R53" s="12">
        <v>0</v>
      </c>
      <c r="S53" s="12">
        <v>0.5</v>
      </c>
      <c r="T53" s="12">
        <v>0</v>
      </c>
      <c r="U53" s="12">
        <v>0</v>
      </c>
      <c r="V53" s="180"/>
      <c r="W53" s="85"/>
      <c r="X53" s="27"/>
      <c r="Y53" s="27"/>
    </row>
    <row r="54" spans="1:26" s="28" customFormat="1" x14ac:dyDescent="0.25">
      <c r="A54" s="8" t="s">
        <v>150</v>
      </c>
      <c r="B54" s="171" t="s">
        <v>151</v>
      </c>
      <c r="C54" s="8" t="s">
        <v>152</v>
      </c>
      <c r="D54" s="8" t="s">
        <v>123</v>
      </c>
      <c r="E54" s="11">
        <v>0.25</v>
      </c>
      <c r="F54" s="10" t="s">
        <v>4</v>
      </c>
      <c r="G54" s="12">
        <v>0.14000000000000001</v>
      </c>
      <c r="H54" s="12">
        <f t="shared" si="7"/>
        <v>0.14000000000000001</v>
      </c>
      <c r="I54" s="12">
        <v>0</v>
      </c>
      <c r="J54" s="12"/>
      <c r="K54" s="12"/>
      <c r="L54" s="12">
        <v>0</v>
      </c>
      <c r="M54" s="12">
        <v>0</v>
      </c>
      <c r="N54" s="12">
        <v>0</v>
      </c>
      <c r="O54" s="12">
        <v>0</v>
      </c>
      <c r="P54" s="12">
        <v>0</v>
      </c>
      <c r="Q54" s="12">
        <v>0.14000000000000001</v>
      </c>
      <c r="R54" s="12">
        <v>0</v>
      </c>
      <c r="S54" s="12">
        <v>0</v>
      </c>
      <c r="T54" s="12">
        <v>0</v>
      </c>
      <c r="U54" s="12">
        <v>0</v>
      </c>
      <c r="V54" s="180"/>
      <c r="W54" s="85"/>
      <c r="X54" s="27"/>
      <c r="Y54" s="27"/>
    </row>
    <row r="55" spans="1:26" s="28" customFormat="1" x14ac:dyDescent="0.25">
      <c r="A55" s="8" t="s">
        <v>147</v>
      </c>
      <c r="B55" s="171" t="s">
        <v>148</v>
      </c>
      <c r="C55" s="8" t="s">
        <v>149</v>
      </c>
      <c r="D55" s="8" t="s">
        <v>123</v>
      </c>
      <c r="E55" s="11">
        <v>2.97</v>
      </c>
      <c r="F55" s="10" t="s">
        <v>4</v>
      </c>
      <c r="G55" s="12">
        <v>1.98</v>
      </c>
      <c r="H55" s="12">
        <f t="shared" si="7"/>
        <v>1.6560000000000001</v>
      </c>
      <c r="I55" s="12">
        <v>0</v>
      </c>
      <c r="J55" s="12"/>
      <c r="K55" s="12"/>
      <c r="L55" s="12">
        <v>0</v>
      </c>
      <c r="M55" s="12">
        <v>0.19600000000000001</v>
      </c>
      <c r="N55" s="12">
        <v>0.6</v>
      </c>
      <c r="O55" s="12">
        <v>0</v>
      </c>
      <c r="P55" s="12">
        <v>0.25</v>
      </c>
      <c r="Q55" s="12">
        <v>0.61</v>
      </c>
      <c r="R55" s="12">
        <v>0</v>
      </c>
      <c r="S55" s="12">
        <v>0</v>
      </c>
      <c r="T55" s="12">
        <v>0</v>
      </c>
      <c r="U55" s="12">
        <v>0</v>
      </c>
      <c r="V55" s="180"/>
      <c r="W55" s="85"/>
      <c r="X55" s="27"/>
      <c r="Y55" s="27"/>
    </row>
    <row r="56" spans="1:26" s="28" customFormat="1" x14ac:dyDescent="0.25">
      <c r="A56" s="8" t="s">
        <v>141</v>
      </c>
      <c r="B56" s="171" t="s">
        <v>142</v>
      </c>
      <c r="C56" s="8" t="s">
        <v>143</v>
      </c>
      <c r="D56" s="8" t="s">
        <v>123</v>
      </c>
      <c r="E56" s="11">
        <v>0.9</v>
      </c>
      <c r="F56" s="10" t="s">
        <v>4</v>
      </c>
      <c r="G56" s="12">
        <v>0.68</v>
      </c>
      <c r="H56" s="12">
        <f t="shared" si="7"/>
        <v>0.68</v>
      </c>
      <c r="I56" s="12">
        <v>0</v>
      </c>
      <c r="J56" s="12"/>
      <c r="K56" s="12"/>
      <c r="L56" s="12">
        <v>0</v>
      </c>
      <c r="M56" s="12">
        <v>0</v>
      </c>
      <c r="N56" s="12">
        <v>0</v>
      </c>
      <c r="O56" s="12">
        <v>0</v>
      </c>
      <c r="P56" s="12">
        <v>0.63</v>
      </c>
      <c r="Q56" s="12">
        <v>0.05</v>
      </c>
      <c r="R56" s="12">
        <v>0</v>
      </c>
      <c r="S56" s="12">
        <v>0</v>
      </c>
      <c r="T56" s="12">
        <v>0</v>
      </c>
      <c r="U56" s="12">
        <v>0</v>
      </c>
      <c r="V56" s="180"/>
      <c r="W56" s="85"/>
      <c r="X56" s="27"/>
      <c r="Y56" s="27"/>
    </row>
    <row r="57" spans="1:26" x14ac:dyDescent="0.25">
      <c r="A57" s="8" t="s">
        <v>182</v>
      </c>
      <c r="B57" s="171" t="s">
        <v>183</v>
      </c>
      <c r="C57" s="8" t="s">
        <v>184</v>
      </c>
      <c r="D57" s="8" t="s">
        <v>123</v>
      </c>
      <c r="E57" s="11">
        <v>2.19</v>
      </c>
      <c r="F57" s="10" t="s">
        <v>4</v>
      </c>
      <c r="G57" s="12">
        <v>1.1499999999999999</v>
      </c>
      <c r="H57" s="12">
        <f t="shared" si="7"/>
        <v>1.25</v>
      </c>
      <c r="I57" s="12">
        <v>0</v>
      </c>
      <c r="J57" s="12"/>
      <c r="K57" s="12"/>
      <c r="L57" s="12">
        <v>0</v>
      </c>
      <c r="M57" s="12">
        <v>0.34</v>
      </c>
      <c r="N57" s="12">
        <v>0.26</v>
      </c>
      <c r="O57" s="12">
        <v>0.04</v>
      </c>
      <c r="P57" s="12">
        <v>0.04</v>
      </c>
      <c r="Q57" s="12">
        <v>0.56999999999999995</v>
      </c>
      <c r="R57" s="12">
        <v>0</v>
      </c>
      <c r="S57" s="12">
        <v>0</v>
      </c>
      <c r="T57" s="12">
        <v>0</v>
      </c>
      <c r="U57" s="12">
        <v>0</v>
      </c>
      <c r="V57" s="180"/>
      <c r="W57" s="85"/>
      <c r="X57" s="27"/>
      <c r="Y57" s="27"/>
      <c r="Z57" s="28"/>
    </row>
    <row r="58" spans="1:26" s="28" customFormat="1" ht="30" x14ac:dyDescent="0.25">
      <c r="A58" s="8" t="s">
        <v>128</v>
      </c>
      <c r="B58" s="171" t="s">
        <v>129</v>
      </c>
      <c r="C58" s="8" t="s">
        <v>130</v>
      </c>
      <c r="D58" s="8" t="s">
        <v>123</v>
      </c>
      <c r="E58" s="11">
        <v>13.7</v>
      </c>
      <c r="F58" s="10" t="s">
        <v>4</v>
      </c>
      <c r="G58" s="12">
        <v>7.62</v>
      </c>
      <c r="H58" s="12">
        <f t="shared" si="7"/>
        <v>7.62</v>
      </c>
      <c r="I58" s="12">
        <v>0</v>
      </c>
      <c r="J58" s="12"/>
      <c r="K58" s="12"/>
      <c r="L58" s="12">
        <v>4.8099999999999996</v>
      </c>
      <c r="M58" s="12">
        <v>0</v>
      </c>
      <c r="N58" s="12">
        <v>0</v>
      </c>
      <c r="O58" s="12">
        <v>0</v>
      </c>
      <c r="P58" s="12">
        <v>0</v>
      </c>
      <c r="Q58" s="12">
        <v>0</v>
      </c>
      <c r="R58" s="12">
        <v>0</v>
      </c>
      <c r="S58" s="12">
        <v>7.62</v>
      </c>
      <c r="T58" s="12">
        <v>0</v>
      </c>
      <c r="U58" s="12">
        <v>0</v>
      </c>
      <c r="V58" s="181" t="s">
        <v>249</v>
      </c>
      <c r="W58" s="85"/>
      <c r="X58" s="27"/>
      <c r="Y58" s="27"/>
    </row>
    <row r="59" spans="1:26" s="28" customFormat="1" ht="30.75" thickBot="1" x14ac:dyDescent="0.3">
      <c r="A59" s="8" t="s">
        <v>153</v>
      </c>
      <c r="B59" s="171" t="s">
        <v>154</v>
      </c>
      <c r="C59" s="8" t="s">
        <v>130</v>
      </c>
      <c r="D59" s="8" t="s">
        <v>123</v>
      </c>
      <c r="E59" s="11">
        <v>8</v>
      </c>
      <c r="F59" s="10" t="s">
        <v>4</v>
      </c>
      <c r="G59" s="12">
        <v>3.87</v>
      </c>
      <c r="H59" s="12">
        <f t="shared" si="7"/>
        <v>0.54</v>
      </c>
      <c r="I59" s="12">
        <v>0</v>
      </c>
      <c r="J59" s="12"/>
      <c r="K59" s="12"/>
      <c r="L59" s="12">
        <v>0</v>
      </c>
      <c r="M59" s="15">
        <v>0</v>
      </c>
      <c r="N59" s="15">
        <v>0</v>
      </c>
      <c r="O59" s="15">
        <v>0</v>
      </c>
      <c r="P59" s="15">
        <v>0</v>
      </c>
      <c r="Q59" s="15">
        <v>0</v>
      </c>
      <c r="R59" s="15">
        <v>0</v>
      </c>
      <c r="S59" s="15">
        <v>0.54</v>
      </c>
      <c r="T59" s="12">
        <v>0</v>
      </c>
      <c r="U59" s="12">
        <v>0</v>
      </c>
      <c r="V59" s="181" t="s">
        <v>241</v>
      </c>
      <c r="W59" s="86"/>
      <c r="X59" s="30"/>
      <c r="Y59" s="30"/>
    </row>
    <row r="60" spans="1:26" s="28" customFormat="1" x14ac:dyDescent="0.25">
      <c r="A60" s="8" t="s">
        <v>196</v>
      </c>
      <c r="B60" s="171" t="s">
        <v>197</v>
      </c>
      <c r="C60" s="8" t="s">
        <v>198</v>
      </c>
      <c r="D60" s="8" t="s">
        <v>123</v>
      </c>
      <c r="E60" s="11">
        <v>0.1</v>
      </c>
      <c r="F60" s="10" t="s">
        <v>4</v>
      </c>
      <c r="G60" s="12">
        <v>0.02</v>
      </c>
      <c r="H60" s="12">
        <f t="shared" si="7"/>
        <v>0.02</v>
      </c>
      <c r="I60" s="12">
        <v>0</v>
      </c>
      <c r="J60" s="12"/>
      <c r="K60" s="12"/>
      <c r="L60" s="12">
        <v>0</v>
      </c>
      <c r="M60" s="12">
        <v>0</v>
      </c>
      <c r="N60" s="12">
        <v>0.02</v>
      </c>
      <c r="O60" s="12">
        <v>0</v>
      </c>
      <c r="P60" s="12">
        <v>0</v>
      </c>
      <c r="Q60" s="12">
        <v>0</v>
      </c>
      <c r="R60" s="12">
        <v>0</v>
      </c>
      <c r="S60" s="12">
        <v>0</v>
      </c>
      <c r="T60" s="12">
        <v>0</v>
      </c>
      <c r="U60" s="12">
        <v>0</v>
      </c>
      <c r="V60" s="180"/>
      <c r="W60" s="90"/>
      <c r="X60" s="32"/>
      <c r="Y60" s="33"/>
    </row>
    <row r="61" spans="1:26" s="28" customFormat="1" ht="15.75" thickBot="1" x14ac:dyDescent="0.3">
      <c r="A61" s="8" t="s">
        <v>120</v>
      </c>
      <c r="B61" s="171" t="s">
        <v>121</v>
      </c>
      <c r="C61" s="8" t="s">
        <v>122</v>
      </c>
      <c r="D61" s="8" t="s">
        <v>123</v>
      </c>
      <c r="E61" s="11">
        <v>0.75</v>
      </c>
      <c r="F61" s="10" t="s">
        <v>4</v>
      </c>
      <c r="G61" s="12">
        <v>0.3</v>
      </c>
      <c r="H61" s="12">
        <f t="shared" si="7"/>
        <v>0.28000000000000003</v>
      </c>
      <c r="I61" s="12">
        <v>0</v>
      </c>
      <c r="J61" s="12"/>
      <c r="K61" s="12"/>
      <c r="L61" s="12">
        <v>0.02</v>
      </c>
      <c r="M61" s="15">
        <v>0</v>
      </c>
      <c r="N61" s="15">
        <v>0</v>
      </c>
      <c r="O61" s="15">
        <v>0</v>
      </c>
      <c r="P61" s="15">
        <v>0</v>
      </c>
      <c r="Q61" s="15">
        <v>0</v>
      </c>
      <c r="R61" s="15">
        <v>0</v>
      </c>
      <c r="S61" s="15">
        <v>0.28000000000000003</v>
      </c>
      <c r="T61" s="12">
        <v>0</v>
      </c>
      <c r="U61" s="12">
        <v>0</v>
      </c>
      <c r="V61" s="180" t="s">
        <v>242</v>
      </c>
      <c r="W61" s="157"/>
      <c r="X61" s="159"/>
      <c r="Y61" s="161"/>
      <c r="Z61"/>
    </row>
    <row r="62" spans="1:26" s="28" customFormat="1" x14ac:dyDescent="0.25">
      <c r="A62" s="8" t="s">
        <v>131</v>
      </c>
      <c r="B62" s="171" t="s">
        <v>132</v>
      </c>
      <c r="C62" s="8" t="s">
        <v>133</v>
      </c>
      <c r="D62" s="8" t="s">
        <v>123</v>
      </c>
      <c r="E62" s="11">
        <v>0.125</v>
      </c>
      <c r="F62" s="10" t="s">
        <v>4</v>
      </c>
      <c r="G62" s="12">
        <v>0.12</v>
      </c>
      <c r="H62" s="12">
        <f t="shared" si="7"/>
        <v>0.12</v>
      </c>
      <c r="I62" s="12">
        <v>0</v>
      </c>
      <c r="J62" s="12"/>
      <c r="K62" s="12"/>
      <c r="L62" s="12">
        <v>0</v>
      </c>
      <c r="M62" s="12">
        <v>0</v>
      </c>
      <c r="N62" s="12">
        <v>0</v>
      </c>
      <c r="O62" s="12">
        <v>0</v>
      </c>
      <c r="P62" s="12">
        <v>0</v>
      </c>
      <c r="Q62" s="12">
        <v>0.12</v>
      </c>
      <c r="R62" s="12">
        <v>0</v>
      </c>
      <c r="S62" s="12">
        <v>0</v>
      </c>
      <c r="T62" s="12">
        <v>0</v>
      </c>
      <c r="U62" s="12">
        <v>0</v>
      </c>
      <c r="V62" s="180"/>
      <c r="W62" s="140"/>
      <c r="X62" s="118"/>
      <c r="Y62" s="147"/>
      <c r="Z62"/>
    </row>
    <row r="63" spans="1:26" s="28" customFormat="1" ht="15.75" thickBot="1" x14ac:dyDescent="0.3">
      <c r="A63" s="8" t="s">
        <v>193</v>
      </c>
      <c r="B63" s="171" t="s">
        <v>194</v>
      </c>
      <c r="C63" s="8" t="s">
        <v>195</v>
      </c>
      <c r="D63" s="8" t="s">
        <v>123</v>
      </c>
      <c r="E63" s="11">
        <v>0.28499999999999998</v>
      </c>
      <c r="F63" s="10" t="s">
        <v>4</v>
      </c>
      <c r="G63" s="12">
        <v>0.14000000000000001</v>
      </c>
      <c r="H63" s="12">
        <f t="shared" si="7"/>
        <v>0.14000000000000001</v>
      </c>
      <c r="I63" s="12">
        <v>0</v>
      </c>
      <c r="J63" s="12"/>
      <c r="K63" s="12"/>
      <c r="L63" s="12">
        <v>0</v>
      </c>
      <c r="M63" s="12">
        <v>0</v>
      </c>
      <c r="N63" s="12">
        <v>0</v>
      </c>
      <c r="O63" s="12">
        <v>0</v>
      </c>
      <c r="P63" s="12">
        <v>0.14000000000000001</v>
      </c>
      <c r="Q63" s="12">
        <v>0</v>
      </c>
      <c r="R63" s="12">
        <v>0</v>
      </c>
      <c r="S63" s="12">
        <v>0</v>
      </c>
      <c r="T63" s="12">
        <v>0</v>
      </c>
      <c r="U63" s="12">
        <v>0</v>
      </c>
      <c r="V63" s="180"/>
      <c r="W63" s="136"/>
      <c r="X63" s="141"/>
      <c r="Y63" s="145"/>
      <c r="Z63"/>
    </row>
    <row r="64" spans="1:26" s="28" customFormat="1" x14ac:dyDescent="0.25">
      <c r="A64" s="8" t="s">
        <v>240</v>
      </c>
      <c r="B64" s="171" t="s">
        <v>138</v>
      </c>
      <c r="C64" s="8" t="s">
        <v>135</v>
      </c>
      <c r="D64" s="8" t="s">
        <v>123</v>
      </c>
      <c r="E64" s="11">
        <v>4.75</v>
      </c>
      <c r="F64" s="10" t="s">
        <v>4</v>
      </c>
      <c r="G64" s="12">
        <v>3.5</v>
      </c>
      <c r="H64" s="12">
        <f t="shared" si="7"/>
        <v>3.9809999999999999</v>
      </c>
      <c r="I64" s="12">
        <v>0.6</v>
      </c>
      <c r="J64" s="12"/>
      <c r="K64" s="12"/>
      <c r="L64" s="12">
        <v>0</v>
      </c>
      <c r="M64" s="12">
        <v>3.44</v>
      </c>
      <c r="N64" s="12">
        <v>0.23100000000000001</v>
      </c>
      <c r="O64" s="12">
        <v>0</v>
      </c>
      <c r="P64" s="12">
        <v>0</v>
      </c>
      <c r="Q64" s="12">
        <v>0.31</v>
      </c>
      <c r="R64" s="12">
        <v>0</v>
      </c>
      <c r="S64" s="12">
        <v>0</v>
      </c>
      <c r="T64" s="12">
        <v>0</v>
      </c>
      <c r="U64" s="12">
        <v>0</v>
      </c>
      <c r="V64" s="180"/>
      <c r="W64" s="156"/>
      <c r="X64" s="76"/>
      <c r="Y64" s="76"/>
      <c r="Z64"/>
    </row>
    <row r="65" spans="1:26" s="28" customFormat="1" x14ac:dyDescent="0.25">
      <c r="A65" s="13" t="s">
        <v>185</v>
      </c>
      <c r="B65" s="171" t="s">
        <v>186</v>
      </c>
      <c r="C65" s="8" t="s">
        <v>135</v>
      </c>
      <c r="D65" s="8" t="s">
        <v>123</v>
      </c>
      <c r="E65" s="11">
        <v>1.51</v>
      </c>
      <c r="F65" s="10" t="s">
        <v>4</v>
      </c>
      <c r="G65" s="12">
        <v>1.52</v>
      </c>
      <c r="H65" s="12">
        <f t="shared" si="7"/>
        <v>0.86899999999999999</v>
      </c>
      <c r="I65" s="12">
        <v>0</v>
      </c>
      <c r="J65" s="12"/>
      <c r="K65" s="12"/>
      <c r="L65" s="12">
        <v>0</v>
      </c>
      <c r="M65" s="12">
        <v>0.5</v>
      </c>
      <c r="N65" s="12">
        <v>7.0000000000000007E-2</v>
      </c>
      <c r="O65" s="12">
        <v>0</v>
      </c>
      <c r="P65" s="12">
        <v>0.11</v>
      </c>
      <c r="Q65" s="12">
        <v>8.9999999999999993E-3</v>
      </c>
      <c r="R65" s="12">
        <v>0</v>
      </c>
      <c r="S65" s="12">
        <v>0</v>
      </c>
      <c r="T65" s="12">
        <v>0</v>
      </c>
      <c r="U65" s="12">
        <v>0.18</v>
      </c>
      <c r="V65" s="180" t="s">
        <v>243</v>
      </c>
      <c r="W65" s="91"/>
      <c r="X65" s="14"/>
      <c r="Y65" s="14"/>
      <c r="Z65"/>
    </row>
    <row r="66" spans="1:26" s="28" customFormat="1" ht="15.75" thickBot="1" x14ac:dyDescent="0.3">
      <c r="A66" s="8" t="s">
        <v>136</v>
      </c>
      <c r="B66" s="171" t="s">
        <v>137</v>
      </c>
      <c r="C66" s="8" t="s">
        <v>135</v>
      </c>
      <c r="D66" s="8" t="s">
        <v>123</v>
      </c>
      <c r="E66" s="11">
        <v>4</v>
      </c>
      <c r="F66" s="10" t="s">
        <v>4</v>
      </c>
      <c r="G66" s="12">
        <v>2.14</v>
      </c>
      <c r="H66" s="12">
        <f t="shared" si="7"/>
        <v>1.97</v>
      </c>
      <c r="I66" s="12">
        <v>0.26</v>
      </c>
      <c r="J66" s="12"/>
      <c r="K66" s="12"/>
      <c r="L66" s="12">
        <v>0</v>
      </c>
      <c r="M66" s="12">
        <v>1.0900000000000001</v>
      </c>
      <c r="N66" s="12">
        <v>0.14000000000000001</v>
      </c>
      <c r="O66" s="12">
        <v>0</v>
      </c>
      <c r="P66" s="12">
        <v>0</v>
      </c>
      <c r="Q66" s="12">
        <v>0</v>
      </c>
      <c r="R66" s="12">
        <v>0</v>
      </c>
      <c r="S66" s="12">
        <v>0.74</v>
      </c>
      <c r="T66" s="12">
        <v>0</v>
      </c>
      <c r="U66" s="12">
        <v>0</v>
      </c>
      <c r="V66" s="180" t="s">
        <v>244</v>
      </c>
      <c r="W66" s="94"/>
      <c r="X66" s="16"/>
      <c r="Y66" s="16"/>
      <c r="Z66"/>
    </row>
    <row r="67" spans="1:26" ht="15.75" thickBot="1" x14ac:dyDescent="0.3">
      <c r="A67" s="8" t="s">
        <v>139</v>
      </c>
      <c r="B67" s="171" t="s">
        <v>140</v>
      </c>
      <c r="C67" s="8" t="s">
        <v>135</v>
      </c>
      <c r="D67" s="8" t="s">
        <v>123</v>
      </c>
      <c r="E67" s="11">
        <v>0.13</v>
      </c>
      <c r="F67" s="10" t="s">
        <v>4</v>
      </c>
      <c r="G67" s="12">
        <v>0.04</v>
      </c>
      <c r="H67" s="12">
        <f t="shared" si="7"/>
        <v>0.04</v>
      </c>
      <c r="I67" s="12">
        <v>0</v>
      </c>
      <c r="J67" s="12"/>
      <c r="K67" s="12"/>
      <c r="L67" s="12">
        <v>0</v>
      </c>
      <c r="M67" s="12">
        <v>0</v>
      </c>
      <c r="N67" s="12">
        <v>0</v>
      </c>
      <c r="O67" s="12">
        <v>0</v>
      </c>
      <c r="P67" s="12">
        <v>0</v>
      </c>
      <c r="Q67" s="12">
        <v>0.04</v>
      </c>
      <c r="R67" s="12">
        <v>0</v>
      </c>
      <c r="S67" s="12">
        <v>0</v>
      </c>
      <c r="T67" s="12">
        <v>0</v>
      </c>
      <c r="U67" s="12">
        <v>0</v>
      </c>
      <c r="V67" s="180"/>
      <c r="W67" s="155"/>
      <c r="X67" s="158"/>
      <c r="Y67" s="160"/>
    </row>
    <row r="68" spans="1:26" x14ac:dyDescent="0.25">
      <c r="A68" s="8" t="s">
        <v>134</v>
      </c>
      <c r="B68" s="171" t="s">
        <v>200</v>
      </c>
      <c r="C68" s="8" t="s">
        <v>135</v>
      </c>
      <c r="D68" s="8" t="s">
        <v>123</v>
      </c>
      <c r="E68" s="11">
        <v>1</v>
      </c>
      <c r="F68" s="10" t="s">
        <v>4</v>
      </c>
      <c r="G68" s="12">
        <v>0.36</v>
      </c>
      <c r="H68" s="12">
        <f t="shared" si="7"/>
        <v>0.36</v>
      </c>
      <c r="I68" s="12">
        <v>0</v>
      </c>
      <c r="J68" s="12"/>
      <c r="K68" s="12"/>
      <c r="L68" s="12">
        <v>0</v>
      </c>
      <c r="M68" s="12">
        <v>0</v>
      </c>
      <c r="N68" s="12">
        <v>0</v>
      </c>
      <c r="O68" s="12">
        <v>0</v>
      </c>
      <c r="P68" s="12">
        <v>0</v>
      </c>
      <c r="Q68" s="12">
        <v>0.36</v>
      </c>
      <c r="R68" s="12">
        <v>0</v>
      </c>
      <c r="S68" s="12">
        <v>0</v>
      </c>
      <c r="T68" s="12">
        <v>0</v>
      </c>
      <c r="U68" s="12">
        <v>0</v>
      </c>
      <c r="V68" s="180"/>
      <c r="W68" s="156"/>
      <c r="X68" s="76"/>
      <c r="Y68" s="76"/>
    </row>
    <row r="69" spans="1:26" ht="30" x14ac:dyDescent="0.25">
      <c r="A69" s="8" t="s">
        <v>158</v>
      </c>
      <c r="B69" s="171" t="s">
        <v>159</v>
      </c>
      <c r="C69" s="8" t="s">
        <v>160</v>
      </c>
      <c r="D69" s="8" t="s">
        <v>123</v>
      </c>
      <c r="E69" s="11">
        <v>7.0000000000000007E-2</v>
      </c>
      <c r="F69" s="10" t="s">
        <v>4</v>
      </c>
      <c r="G69" s="12">
        <v>0.01</v>
      </c>
      <c r="H69" s="12">
        <v>0.01</v>
      </c>
      <c r="I69" s="12">
        <v>0</v>
      </c>
      <c r="J69" s="12"/>
      <c r="K69" s="12"/>
      <c r="L69" s="12">
        <v>0</v>
      </c>
      <c r="M69" s="12">
        <v>0</v>
      </c>
      <c r="N69" s="12">
        <v>0.01</v>
      </c>
      <c r="O69" s="12">
        <v>0</v>
      </c>
      <c r="P69" s="12">
        <v>0</v>
      </c>
      <c r="Q69" s="12">
        <v>0</v>
      </c>
      <c r="R69" s="12">
        <v>0</v>
      </c>
      <c r="S69" s="12">
        <v>0</v>
      </c>
      <c r="T69" s="12">
        <v>0</v>
      </c>
      <c r="U69" s="12">
        <v>0</v>
      </c>
      <c r="V69" s="181" t="s">
        <v>205</v>
      </c>
      <c r="W69" s="91"/>
      <c r="X69" s="14"/>
      <c r="Y69" s="14"/>
    </row>
    <row r="70" spans="1:26" x14ac:dyDescent="0.25">
      <c r="A70" s="8" t="s">
        <v>167</v>
      </c>
      <c r="B70" s="171" t="s">
        <v>168</v>
      </c>
      <c r="C70" s="8" t="s">
        <v>169</v>
      </c>
      <c r="D70" s="8" t="s">
        <v>123</v>
      </c>
      <c r="E70" s="11">
        <v>0.17599999999999999</v>
      </c>
      <c r="F70" s="10" t="s">
        <v>4</v>
      </c>
      <c r="G70" s="12">
        <v>0.04</v>
      </c>
      <c r="H70" s="12">
        <f t="shared" ref="H70:H75" si="8">M70+N70+O70+P70+Q70+R70+S70+T70+U70</f>
        <v>0.04</v>
      </c>
      <c r="I70" s="12">
        <v>0</v>
      </c>
      <c r="J70" s="12"/>
      <c r="K70" s="12"/>
      <c r="L70" s="12">
        <v>0</v>
      </c>
      <c r="M70" s="12">
        <v>0</v>
      </c>
      <c r="N70" s="12">
        <v>0</v>
      </c>
      <c r="O70" s="12">
        <v>0</v>
      </c>
      <c r="P70" s="12">
        <v>0</v>
      </c>
      <c r="Q70" s="12">
        <v>0.04</v>
      </c>
      <c r="R70" s="12">
        <v>0</v>
      </c>
      <c r="S70" s="12">
        <v>0</v>
      </c>
      <c r="T70" s="12">
        <v>0</v>
      </c>
      <c r="U70" s="12">
        <v>0</v>
      </c>
      <c r="V70" s="180"/>
      <c r="W70" s="92"/>
      <c r="X70" s="13"/>
      <c r="Y70" s="13"/>
    </row>
    <row r="71" spans="1:26" x14ac:dyDescent="0.25">
      <c r="A71" s="8" t="s">
        <v>164</v>
      </c>
      <c r="B71" s="171" t="s">
        <v>165</v>
      </c>
      <c r="C71" s="8" t="s">
        <v>166</v>
      </c>
      <c r="D71" s="8" t="s">
        <v>123</v>
      </c>
      <c r="E71" s="11">
        <v>0.14099999999999999</v>
      </c>
      <c r="F71" s="10" t="s">
        <v>4</v>
      </c>
      <c r="G71" s="12">
        <v>0.03</v>
      </c>
      <c r="H71" s="12">
        <f t="shared" si="8"/>
        <v>0.03</v>
      </c>
      <c r="I71" s="12">
        <v>0</v>
      </c>
      <c r="J71" s="12"/>
      <c r="K71" s="12"/>
      <c r="L71" s="12">
        <v>0</v>
      </c>
      <c r="M71" s="12">
        <v>0</v>
      </c>
      <c r="N71" s="12">
        <v>0</v>
      </c>
      <c r="O71" s="12">
        <v>0</v>
      </c>
      <c r="P71" s="12">
        <v>0</v>
      </c>
      <c r="Q71" s="12">
        <v>0.03</v>
      </c>
      <c r="R71" s="12">
        <v>0</v>
      </c>
      <c r="S71" s="12">
        <v>0</v>
      </c>
      <c r="T71" s="12">
        <v>0</v>
      </c>
      <c r="U71" s="12">
        <v>0</v>
      </c>
      <c r="V71" s="180"/>
      <c r="W71" s="91"/>
      <c r="X71" s="14"/>
      <c r="Y71" s="14"/>
    </row>
    <row r="72" spans="1:26" x14ac:dyDescent="0.25">
      <c r="A72" s="8" t="s">
        <v>170</v>
      </c>
      <c r="B72" s="171" t="s">
        <v>171</v>
      </c>
      <c r="C72" s="8" t="s">
        <v>172</v>
      </c>
      <c r="D72" s="8" t="s">
        <v>123</v>
      </c>
      <c r="E72" s="11">
        <v>0.19</v>
      </c>
      <c r="F72" s="10" t="s">
        <v>4</v>
      </c>
      <c r="G72" s="12">
        <v>0.11</v>
      </c>
      <c r="H72" s="12">
        <f t="shared" si="8"/>
        <v>0.11</v>
      </c>
      <c r="I72" s="12">
        <v>0</v>
      </c>
      <c r="J72" s="12"/>
      <c r="K72" s="12"/>
      <c r="L72" s="12">
        <v>0</v>
      </c>
      <c r="M72" s="12">
        <v>0</v>
      </c>
      <c r="N72" s="12">
        <v>0.11</v>
      </c>
      <c r="O72" s="12">
        <v>0</v>
      </c>
      <c r="P72" s="12">
        <v>0</v>
      </c>
      <c r="Q72" s="12">
        <v>0</v>
      </c>
      <c r="R72" s="12">
        <v>0</v>
      </c>
      <c r="S72" s="12">
        <v>0</v>
      </c>
      <c r="T72" s="12">
        <v>0</v>
      </c>
      <c r="U72" s="12">
        <v>0</v>
      </c>
      <c r="V72" s="180"/>
      <c r="W72" s="92"/>
      <c r="X72" s="13"/>
      <c r="Y72" s="13"/>
    </row>
    <row r="73" spans="1:26" x14ac:dyDescent="0.25">
      <c r="A73" s="8" t="s">
        <v>155</v>
      </c>
      <c r="B73" s="171" t="s">
        <v>156</v>
      </c>
      <c r="C73" s="8" t="s">
        <v>157</v>
      </c>
      <c r="D73" s="8" t="s">
        <v>123</v>
      </c>
      <c r="E73" s="11">
        <v>0.34</v>
      </c>
      <c r="F73" s="10" t="s">
        <v>4</v>
      </c>
      <c r="G73" s="12">
        <v>0.13</v>
      </c>
      <c r="H73" s="12">
        <f t="shared" si="8"/>
        <v>0.13</v>
      </c>
      <c r="I73" s="12">
        <v>0</v>
      </c>
      <c r="J73" s="12"/>
      <c r="K73" s="12"/>
      <c r="L73" s="12">
        <v>0</v>
      </c>
      <c r="M73" s="12">
        <v>0</v>
      </c>
      <c r="N73" s="12">
        <v>0</v>
      </c>
      <c r="O73" s="12">
        <v>0</v>
      </c>
      <c r="P73" s="12">
        <v>0</v>
      </c>
      <c r="Q73" s="12">
        <v>0.13</v>
      </c>
      <c r="R73" s="12">
        <v>0</v>
      </c>
      <c r="S73" s="12">
        <v>0</v>
      </c>
      <c r="T73" s="12">
        <v>0</v>
      </c>
      <c r="U73" s="12">
        <v>0</v>
      </c>
      <c r="V73" s="180"/>
      <c r="W73" s="91"/>
      <c r="X73" s="14"/>
      <c r="Y73" s="14"/>
    </row>
    <row r="74" spans="1:26" x14ac:dyDescent="0.25">
      <c r="A74" s="8" t="s">
        <v>179</v>
      </c>
      <c r="B74" s="171" t="s">
        <v>180</v>
      </c>
      <c r="C74" s="8" t="s">
        <v>181</v>
      </c>
      <c r="D74" s="8" t="s">
        <v>123</v>
      </c>
      <c r="E74" s="11">
        <v>1.7</v>
      </c>
      <c r="F74" s="10" t="s">
        <v>4</v>
      </c>
      <c r="G74" s="12">
        <v>1.25</v>
      </c>
      <c r="H74" s="12">
        <f t="shared" si="8"/>
        <v>1.2780000000000002</v>
      </c>
      <c r="I74" s="12">
        <v>0</v>
      </c>
      <c r="J74" s="12"/>
      <c r="K74" s="12"/>
      <c r="L74" s="12">
        <v>0</v>
      </c>
      <c r="M74" s="12">
        <v>0.81</v>
      </c>
      <c r="N74" s="12">
        <v>0.27</v>
      </c>
      <c r="O74" s="12">
        <v>0.1</v>
      </c>
      <c r="P74" s="12">
        <v>0</v>
      </c>
      <c r="Q74" s="12">
        <v>0</v>
      </c>
      <c r="R74" s="12">
        <v>0</v>
      </c>
      <c r="S74" s="12">
        <v>9.8000000000000004E-2</v>
      </c>
      <c r="T74" s="12">
        <v>0</v>
      </c>
      <c r="U74" s="12">
        <v>0</v>
      </c>
      <c r="V74" s="180"/>
      <c r="W74" s="92"/>
      <c r="X74" s="13"/>
      <c r="Y74" s="13"/>
    </row>
    <row r="75" spans="1:26" x14ac:dyDescent="0.25">
      <c r="A75" s="8" t="s">
        <v>126</v>
      </c>
      <c r="B75" s="171" t="s">
        <v>127</v>
      </c>
      <c r="C75" s="8" t="s">
        <v>181</v>
      </c>
      <c r="D75" s="8" t="s">
        <v>123</v>
      </c>
      <c r="E75" s="11">
        <v>7.5</v>
      </c>
      <c r="F75" s="10" t="s">
        <v>4</v>
      </c>
      <c r="G75" s="15">
        <v>4.0599999999999996</v>
      </c>
      <c r="H75" s="15">
        <f t="shared" si="8"/>
        <v>0.01</v>
      </c>
      <c r="I75" s="15">
        <v>0</v>
      </c>
      <c r="J75" s="15"/>
      <c r="K75" s="15"/>
      <c r="L75" s="15">
        <v>4.05</v>
      </c>
      <c r="M75" s="15">
        <v>0.01</v>
      </c>
      <c r="N75" s="15">
        <v>0</v>
      </c>
      <c r="O75" s="15">
        <v>0</v>
      </c>
      <c r="P75" s="15">
        <v>0</v>
      </c>
      <c r="Q75" s="15">
        <v>0</v>
      </c>
      <c r="R75" s="15">
        <v>0</v>
      </c>
      <c r="S75" s="15">
        <v>0</v>
      </c>
      <c r="T75" s="15">
        <v>0</v>
      </c>
      <c r="U75" s="15">
        <v>0</v>
      </c>
      <c r="V75" s="180"/>
      <c r="W75" s="92"/>
      <c r="X75" s="13"/>
      <c r="Y75" s="13"/>
    </row>
    <row r="76" spans="1:26" ht="15.75" x14ac:dyDescent="0.25">
      <c r="A76" s="96" t="s">
        <v>302</v>
      </c>
      <c r="B76" s="96"/>
      <c r="C76" s="99"/>
      <c r="D76" s="99"/>
      <c r="E76" s="97">
        <f>SUM(E71:E75)</f>
        <v>9.8710000000000004</v>
      </c>
      <c r="F76" s="97" t="s">
        <v>330</v>
      </c>
      <c r="G76" s="97">
        <f t="shared" ref="G76:U76" si="9">SUM(G71:G75)</f>
        <v>5.58</v>
      </c>
      <c r="H76" s="97">
        <f t="shared" si="9"/>
        <v>1.5580000000000003</v>
      </c>
      <c r="I76" s="97">
        <f t="shared" si="9"/>
        <v>0</v>
      </c>
      <c r="J76" s="97">
        <f t="shared" si="9"/>
        <v>0</v>
      </c>
      <c r="K76" s="97">
        <f t="shared" si="9"/>
        <v>0</v>
      </c>
      <c r="L76" s="97">
        <f t="shared" si="9"/>
        <v>4.05</v>
      </c>
      <c r="M76" s="97">
        <f t="shared" si="9"/>
        <v>0.82000000000000006</v>
      </c>
      <c r="N76" s="97">
        <f t="shared" si="9"/>
        <v>0.38</v>
      </c>
      <c r="O76" s="97">
        <f t="shared" si="9"/>
        <v>0.1</v>
      </c>
      <c r="P76" s="97">
        <f t="shared" si="9"/>
        <v>0</v>
      </c>
      <c r="Q76" s="97">
        <f t="shared" si="9"/>
        <v>0.16</v>
      </c>
      <c r="R76" s="97">
        <f t="shared" si="9"/>
        <v>0</v>
      </c>
      <c r="S76" s="97">
        <f t="shared" si="9"/>
        <v>9.8000000000000004E-2</v>
      </c>
      <c r="T76" s="97">
        <f t="shared" si="9"/>
        <v>0</v>
      </c>
      <c r="U76" s="97">
        <f t="shared" si="9"/>
        <v>0</v>
      </c>
      <c r="V76" s="98"/>
      <c r="W76" s="137"/>
      <c r="X76" s="142"/>
      <c r="Y76" s="142"/>
      <c r="Z76" s="82"/>
    </row>
    <row r="77" spans="1:26" ht="30" x14ac:dyDescent="0.25">
      <c r="A77" s="104" t="s">
        <v>12</v>
      </c>
      <c r="B77" s="24" t="s">
        <v>209</v>
      </c>
      <c r="C77" s="24" t="s">
        <v>25</v>
      </c>
      <c r="D77" s="24" t="s">
        <v>46</v>
      </c>
      <c r="E77" s="25">
        <v>40</v>
      </c>
      <c r="F77" s="24" t="s">
        <v>5</v>
      </c>
      <c r="G77" s="15">
        <v>22.08</v>
      </c>
      <c r="H77" s="15">
        <f t="shared" ref="H77:H83" si="10">M77+N77+O77+P77+Q77+R77+S77+T77+U77</f>
        <v>20.36</v>
      </c>
      <c r="I77" s="15">
        <v>0</v>
      </c>
      <c r="J77" s="15">
        <v>0.124</v>
      </c>
      <c r="K77" s="15">
        <v>0.56000000000000005</v>
      </c>
      <c r="L77" s="15">
        <v>2.06</v>
      </c>
      <c r="M77" s="15">
        <v>4.71</v>
      </c>
      <c r="N77" s="15"/>
      <c r="O77" s="15">
        <v>0</v>
      </c>
      <c r="P77" s="15">
        <v>0</v>
      </c>
      <c r="Q77" s="15"/>
      <c r="R77" s="15">
        <v>0</v>
      </c>
      <c r="S77" s="15">
        <v>0</v>
      </c>
      <c r="T77" s="15">
        <v>15.65</v>
      </c>
      <c r="U77" s="15">
        <v>0</v>
      </c>
      <c r="V77" s="182" t="s">
        <v>326</v>
      </c>
      <c r="W77" s="91"/>
      <c r="X77" s="14"/>
      <c r="Y77" s="14"/>
    </row>
    <row r="78" spans="1:26" x14ac:dyDescent="0.25">
      <c r="A78" s="24" t="s">
        <v>92</v>
      </c>
      <c r="B78" s="24" t="s">
        <v>93</v>
      </c>
      <c r="C78" s="24" t="s">
        <v>94</v>
      </c>
      <c r="D78" s="24" t="s">
        <v>46</v>
      </c>
      <c r="E78" s="25">
        <v>12.5</v>
      </c>
      <c r="F78" s="24" t="s">
        <v>5</v>
      </c>
      <c r="G78" s="15">
        <v>7.03</v>
      </c>
      <c r="H78" s="15">
        <f t="shared" si="10"/>
        <v>9.1289999999999996</v>
      </c>
      <c r="I78" s="15">
        <v>0.35</v>
      </c>
      <c r="J78" s="15"/>
      <c r="K78" s="15"/>
      <c r="L78" s="15"/>
      <c r="M78" s="15">
        <v>7.3330000000000002</v>
      </c>
      <c r="N78" s="15">
        <v>0</v>
      </c>
      <c r="O78" s="15">
        <v>0</v>
      </c>
      <c r="P78" s="15">
        <v>0</v>
      </c>
      <c r="Q78" s="15">
        <v>0</v>
      </c>
      <c r="R78" s="15">
        <v>0</v>
      </c>
      <c r="S78" s="15">
        <v>0.311</v>
      </c>
      <c r="T78" s="15">
        <v>0</v>
      </c>
      <c r="U78" s="15">
        <v>1.4850000000000001</v>
      </c>
      <c r="V78" s="175"/>
      <c r="W78" s="92"/>
      <c r="X78" s="13"/>
      <c r="Y78" s="13"/>
    </row>
    <row r="79" spans="1:26" x14ac:dyDescent="0.25">
      <c r="A79" s="24" t="s">
        <v>97</v>
      </c>
      <c r="B79" s="24" t="s">
        <v>98</v>
      </c>
      <c r="C79" s="24" t="s">
        <v>99</v>
      </c>
      <c r="D79" s="24" t="s">
        <v>46</v>
      </c>
      <c r="E79" s="25">
        <v>2.2000000000000002</v>
      </c>
      <c r="F79" s="24" t="s">
        <v>5</v>
      </c>
      <c r="G79" s="15">
        <v>0.72599999999999998</v>
      </c>
      <c r="H79" s="15">
        <f t="shared" si="10"/>
        <v>0.99399999999999999</v>
      </c>
      <c r="I79" s="15">
        <v>0.186</v>
      </c>
      <c r="J79" s="15"/>
      <c r="K79" s="15"/>
      <c r="L79" s="15">
        <v>0</v>
      </c>
      <c r="M79" s="15">
        <v>0.751</v>
      </c>
      <c r="N79" s="15">
        <v>0.13300000000000001</v>
      </c>
      <c r="O79" s="15">
        <v>0</v>
      </c>
      <c r="P79" s="15">
        <v>0</v>
      </c>
      <c r="Q79" s="15">
        <v>0.11</v>
      </c>
      <c r="R79" s="15">
        <v>0</v>
      </c>
      <c r="S79" s="15">
        <v>0</v>
      </c>
      <c r="T79" s="15">
        <v>0</v>
      </c>
      <c r="U79" s="15">
        <v>0</v>
      </c>
      <c r="V79" s="175"/>
      <c r="W79" s="91"/>
      <c r="X79" s="14"/>
      <c r="Y79" s="14"/>
    </row>
    <row r="80" spans="1:26" ht="15.75" thickBot="1" x14ac:dyDescent="0.3">
      <c r="A80" s="24" t="s">
        <v>108</v>
      </c>
      <c r="B80" s="24" t="s">
        <v>109</v>
      </c>
      <c r="C80" s="24" t="s">
        <v>110</v>
      </c>
      <c r="D80" s="24" t="s">
        <v>46</v>
      </c>
      <c r="E80" s="25">
        <v>0.25</v>
      </c>
      <c r="F80" s="24" t="s">
        <v>5</v>
      </c>
      <c r="G80" s="15">
        <v>0.191</v>
      </c>
      <c r="H80" s="15">
        <f t="shared" si="10"/>
        <v>0.191</v>
      </c>
      <c r="I80" s="15">
        <v>0</v>
      </c>
      <c r="J80" s="15"/>
      <c r="K80" s="15"/>
      <c r="L80" s="15">
        <v>0</v>
      </c>
      <c r="M80" s="15">
        <v>0.13500000000000001</v>
      </c>
      <c r="N80" s="15">
        <v>0</v>
      </c>
      <c r="O80" s="15">
        <v>0</v>
      </c>
      <c r="P80" s="15">
        <v>5.6000000000000001E-2</v>
      </c>
      <c r="Q80" s="15">
        <v>0</v>
      </c>
      <c r="R80" s="15">
        <v>0</v>
      </c>
      <c r="S80" s="15">
        <v>0</v>
      </c>
      <c r="T80" s="15">
        <v>0</v>
      </c>
      <c r="U80" s="15">
        <v>0</v>
      </c>
      <c r="V80" s="175"/>
      <c r="W80" s="94"/>
      <c r="X80" s="16"/>
      <c r="Y80" s="16"/>
    </row>
    <row r="81" spans="1:26" x14ac:dyDescent="0.25">
      <c r="A81" s="83" t="s">
        <v>117</v>
      </c>
      <c r="B81" s="24" t="s">
        <v>208</v>
      </c>
      <c r="C81" s="10" t="s">
        <v>118</v>
      </c>
      <c r="D81" s="24" t="s">
        <v>46</v>
      </c>
      <c r="E81" s="11">
        <v>0.47</v>
      </c>
      <c r="F81" s="10" t="s">
        <v>5</v>
      </c>
      <c r="G81" s="17">
        <v>0.38</v>
      </c>
      <c r="H81" s="17">
        <f t="shared" si="10"/>
        <v>0.38</v>
      </c>
      <c r="I81" s="17">
        <v>0</v>
      </c>
      <c r="J81" s="17"/>
      <c r="K81" s="17"/>
      <c r="L81" s="17">
        <v>0</v>
      </c>
      <c r="M81" s="17">
        <v>0</v>
      </c>
      <c r="N81" s="17">
        <v>0</v>
      </c>
      <c r="O81" s="17">
        <v>0</v>
      </c>
      <c r="P81" s="17">
        <v>0</v>
      </c>
      <c r="Q81" s="17">
        <v>0.38</v>
      </c>
      <c r="R81" s="17">
        <v>0</v>
      </c>
      <c r="S81" s="17">
        <v>0</v>
      </c>
      <c r="T81" s="17">
        <v>0</v>
      </c>
      <c r="U81" s="17">
        <v>0</v>
      </c>
      <c r="V81" s="176" t="s">
        <v>269</v>
      </c>
      <c r="W81" s="140"/>
      <c r="X81" s="118"/>
      <c r="Y81" s="147"/>
    </row>
    <row r="82" spans="1:26" ht="15.75" thickBot="1" x14ac:dyDescent="0.3">
      <c r="A82" s="24" t="s">
        <v>105</v>
      </c>
      <c r="B82" s="24" t="s">
        <v>106</v>
      </c>
      <c r="C82" s="24" t="s">
        <v>107</v>
      </c>
      <c r="D82" s="24" t="s">
        <v>46</v>
      </c>
      <c r="E82" s="25">
        <v>2.4</v>
      </c>
      <c r="F82" s="24" t="s">
        <v>5</v>
      </c>
      <c r="G82" s="15">
        <v>1.7170000000000001</v>
      </c>
      <c r="H82" s="15">
        <f t="shared" si="10"/>
        <v>2.2720000000000002</v>
      </c>
      <c r="I82" s="15">
        <v>0</v>
      </c>
      <c r="J82" s="15">
        <v>0.55500000000000005</v>
      </c>
      <c r="K82" s="15"/>
      <c r="L82" s="15">
        <v>0</v>
      </c>
      <c r="M82" s="15">
        <v>1.996</v>
      </c>
      <c r="N82" s="15">
        <v>9.5000000000000001E-2</v>
      </c>
      <c r="O82" s="15">
        <v>0</v>
      </c>
      <c r="P82" s="15">
        <v>0</v>
      </c>
      <c r="Q82" s="15">
        <v>0.18099999999999999</v>
      </c>
      <c r="R82" s="15">
        <v>0</v>
      </c>
      <c r="S82" s="15">
        <v>0</v>
      </c>
      <c r="T82" s="15">
        <v>0</v>
      </c>
      <c r="U82" s="15">
        <v>0</v>
      </c>
      <c r="V82" s="183" t="s">
        <v>325</v>
      </c>
      <c r="W82" s="93"/>
      <c r="X82" s="34"/>
      <c r="Y82" s="35"/>
    </row>
    <row r="83" spans="1:26" s="82" customFormat="1" ht="16.5" thickBot="1" x14ac:dyDescent="0.3">
      <c r="A83" s="135" t="s">
        <v>111</v>
      </c>
      <c r="B83" s="24" t="s">
        <v>112</v>
      </c>
      <c r="C83" s="24" t="s">
        <v>113</v>
      </c>
      <c r="D83" s="24" t="s">
        <v>46</v>
      </c>
      <c r="E83" s="25">
        <v>0.15</v>
      </c>
      <c r="F83" s="24" t="s">
        <v>5</v>
      </c>
      <c r="G83" s="15">
        <v>9.5000000000000001E-2</v>
      </c>
      <c r="H83" s="15">
        <f t="shared" si="10"/>
        <v>9.5000000000000001E-2</v>
      </c>
      <c r="I83" s="15">
        <v>0</v>
      </c>
      <c r="J83" s="15"/>
      <c r="K83" s="15"/>
      <c r="L83" s="15">
        <v>0</v>
      </c>
      <c r="M83" s="15">
        <v>2.5999999999999999E-2</v>
      </c>
      <c r="N83" s="15">
        <v>0</v>
      </c>
      <c r="O83" s="15">
        <v>0</v>
      </c>
      <c r="P83" s="15">
        <v>0</v>
      </c>
      <c r="Q83" s="15">
        <v>0</v>
      </c>
      <c r="R83" s="15">
        <v>0</v>
      </c>
      <c r="S83" s="15">
        <v>0</v>
      </c>
      <c r="T83" s="15">
        <v>0</v>
      </c>
      <c r="U83" s="15">
        <v>6.9000000000000006E-2</v>
      </c>
      <c r="V83" s="175"/>
      <c r="W83" s="155"/>
      <c r="X83" s="158"/>
      <c r="Y83" s="160"/>
      <c r="Z83"/>
    </row>
    <row r="84" spans="1:26" ht="22.5" x14ac:dyDescent="0.25">
      <c r="A84" s="24" t="s">
        <v>202</v>
      </c>
      <c r="B84" s="24" t="s">
        <v>203</v>
      </c>
      <c r="C84" s="24" t="s">
        <v>91</v>
      </c>
      <c r="D84" s="24" t="s">
        <v>46</v>
      </c>
      <c r="E84" s="25">
        <v>3</v>
      </c>
      <c r="F84" s="24" t="s">
        <v>5</v>
      </c>
      <c r="G84" s="15">
        <v>1.516</v>
      </c>
      <c r="H84" s="126" t="s">
        <v>316</v>
      </c>
      <c r="I84" s="15">
        <v>0</v>
      </c>
      <c r="J84" s="15"/>
      <c r="K84" s="15">
        <v>1.516</v>
      </c>
      <c r="L84" s="15">
        <v>0</v>
      </c>
      <c r="M84" s="126" t="s">
        <v>316</v>
      </c>
      <c r="N84" s="126" t="s">
        <v>316</v>
      </c>
      <c r="O84" s="126" t="s">
        <v>316</v>
      </c>
      <c r="P84" s="126" t="s">
        <v>316</v>
      </c>
      <c r="Q84" s="15">
        <v>0</v>
      </c>
      <c r="R84" s="15">
        <v>0</v>
      </c>
      <c r="S84" s="126" t="s">
        <v>316</v>
      </c>
      <c r="T84" s="15">
        <v>0</v>
      </c>
      <c r="U84" s="15">
        <v>0</v>
      </c>
      <c r="V84" s="176" t="s">
        <v>322</v>
      </c>
      <c r="W84" s="156"/>
      <c r="X84" s="76"/>
      <c r="Y84" s="76"/>
    </row>
    <row r="85" spans="1:26" x14ac:dyDescent="0.25">
      <c r="A85" s="24" t="s">
        <v>90</v>
      </c>
      <c r="B85" s="24" t="s">
        <v>248</v>
      </c>
      <c r="C85" s="24" t="s">
        <v>91</v>
      </c>
      <c r="D85" s="24" t="s">
        <v>46</v>
      </c>
      <c r="E85" s="25">
        <v>7.3</v>
      </c>
      <c r="F85" s="24" t="s">
        <v>5</v>
      </c>
      <c r="G85" s="15">
        <v>5.819</v>
      </c>
      <c r="H85" s="15">
        <f>M85+N85+O85+P85+Q85+R85+S85+T85+U85</f>
        <v>6.9959999999999996</v>
      </c>
      <c r="I85" s="15">
        <v>0.21</v>
      </c>
      <c r="J85" s="15">
        <v>1.516</v>
      </c>
      <c r="K85" s="15"/>
      <c r="L85" s="15">
        <v>0</v>
      </c>
      <c r="M85" s="15">
        <v>4.8949999999999996</v>
      </c>
      <c r="N85" s="15">
        <v>0.35099999999999998</v>
      </c>
      <c r="O85" s="15">
        <v>6.0000000000000001E-3</v>
      </c>
      <c r="P85" s="15">
        <v>1.0940000000000001</v>
      </c>
      <c r="Q85" s="15">
        <v>0</v>
      </c>
      <c r="R85" s="15">
        <v>0</v>
      </c>
      <c r="S85" s="15">
        <v>0.55000000000000004</v>
      </c>
      <c r="T85" s="15">
        <v>0</v>
      </c>
      <c r="U85" s="15">
        <v>0.1</v>
      </c>
      <c r="V85" s="176" t="s">
        <v>323</v>
      </c>
      <c r="W85" s="91"/>
      <c r="X85" s="14"/>
      <c r="Y85" s="14"/>
    </row>
    <row r="86" spans="1:26" ht="22.5" x14ac:dyDescent="0.25">
      <c r="A86" s="24" t="s">
        <v>114</v>
      </c>
      <c r="B86" s="24" t="s">
        <v>115</v>
      </c>
      <c r="C86" s="24" t="s">
        <v>116</v>
      </c>
      <c r="D86" s="24" t="s">
        <v>46</v>
      </c>
      <c r="E86" s="25">
        <v>6.5</v>
      </c>
      <c r="F86" s="24" t="s">
        <v>5</v>
      </c>
      <c r="G86" s="15">
        <v>2.2709999999999999</v>
      </c>
      <c r="H86" s="126" t="s">
        <v>316</v>
      </c>
      <c r="I86" s="15">
        <v>0</v>
      </c>
      <c r="J86" s="15"/>
      <c r="K86" s="15">
        <v>2.27</v>
      </c>
      <c r="L86" s="15">
        <v>0</v>
      </c>
      <c r="M86" s="126" t="s">
        <v>316</v>
      </c>
      <c r="N86" s="15">
        <v>0</v>
      </c>
      <c r="O86" s="15">
        <v>0</v>
      </c>
      <c r="P86" s="15">
        <v>0</v>
      </c>
      <c r="Q86" s="126" t="s">
        <v>316</v>
      </c>
      <c r="R86" s="15">
        <v>0</v>
      </c>
      <c r="S86" s="15">
        <v>0</v>
      </c>
      <c r="T86" s="15">
        <v>0</v>
      </c>
      <c r="U86" s="126" t="s">
        <v>316</v>
      </c>
      <c r="V86" s="175"/>
      <c r="W86" s="92"/>
      <c r="X86" s="13"/>
      <c r="Y86" s="13"/>
    </row>
    <row r="87" spans="1:26" x14ac:dyDescent="0.25">
      <c r="A87" s="24" t="s">
        <v>119</v>
      </c>
      <c r="B87" s="24" t="s">
        <v>247</v>
      </c>
      <c r="C87" s="24" t="s">
        <v>116</v>
      </c>
      <c r="D87" s="24" t="s">
        <v>46</v>
      </c>
      <c r="E87" s="25">
        <v>3.5</v>
      </c>
      <c r="F87" s="24" t="s">
        <v>5</v>
      </c>
      <c r="G87" s="15">
        <v>2.3199999999999998</v>
      </c>
      <c r="H87" s="15">
        <f>M87+N87+O87+P87+Q87+R87+S87+T87+U87</f>
        <v>4.774</v>
      </c>
      <c r="I87" s="15">
        <v>0.127</v>
      </c>
      <c r="J87" s="15">
        <v>2.27</v>
      </c>
      <c r="K87" s="15"/>
      <c r="L87" s="15">
        <v>0</v>
      </c>
      <c r="M87" s="15">
        <v>4.2009999999999996</v>
      </c>
      <c r="N87" s="15">
        <v>1E-3</v>
      </c>
      <c r="O87" s="15">
        <v>0</v>
      </c>
      <c r="P87" s="15">
        <v>0</v>
      </c>
      <c r="Q87" s="15">
        <v>0.56599999999999995</v>
      </c>
      <c r="R87" s="15">
        <v>0</v>
      </c>
      <c r="S87" s="15">
        <v>0</v>
      </c>
      <c r="T87" s="15">
        <v>0</v>
      </c>
      <c r="U87" s="15">
        <v>6.0000000000000001E-3</v>
      </c>
      <c r="V87" s="175"/>
      <c r="W87" s="91"/>
      <c r="X87" s="14"/>
      <c r="Y87" s="14"/>
    </row>
    <row r="88" spans="1:26" x14ac:dyDescent="0.25">
      <c r="A88" s="24" t="s">
        <v>95</v>
      </c>
      <c r="B88" s="24" t="s">
        <v>96</v>
      </c>
      <c r="C88" s="24" t="s">
        <v>96</v>
      </c>
      <c r="D88" s="24" t="s">
        <v>46</v>
      </c>
      <c r="E88" s="25">
        <v>2.9</v>
      </c>
      <c r="F88" s="24" t="s">
        <v>5</v>
      </c>
      <c r="G88" s="15">
        <v>1.9810000000000001</v>
      </c>
      <c r="H88" s="15">
        <f>M88+N88+O88+P88+Q88+R88+S88+T88+U88</f>
        <v>1.9089999999999998</v>
      </c>
      <c r="I88" s="15">
        <v>0</v>
      </c>
      <c r="J88" s="15"/>
      <c r="K88" s="15"/>
      <c r="L88" s="15">
        <v>7.4999999999999997E-2</v>
      </c>
      <c r="M88" s="15">
        <v>1.8069999999999999</v>
      </c>
      <c r="N88" s="15">
        <v>5.8999999999999997E-2</v>
      </c>
      <c r="O88" s="15">
        <v>0</v>
      </c>
      <c r="P88" s="15">
        <v>0</v>
      </c>
      <c r="Q88" s="15">
        <v>4.2999999999999997E-2</v>
      </c>
      <c r="R88" s="15">
        <v>0</v>
      </c>
      <c r="S88" s="15">
        <v>0</v>
      </c>
      <c r="T88" s="15">
        <v>0</v>
      </c>
      <c r="U88" s="15">
        <v>0</v>
      </c>
      <c r="V88" s="175"/>
      <c r="W88" s="92"/>
      <c r="X88" s="13"/>
      <c r="Y88" s="13"/>
    </row>
    <row r="89" spans="1:26" x14ac:dyDescent="0.25">
      <c r="A89" s="24" t="s">
        <v>103</v>
      </c>
      <c r="B89" s="24" t="s">
        <v>104</v>
      </c>
      <c r="C89" s="24" t="s">
        <v>102</v>
      </c>
      <c r="D89" s="24" t="s">
        <v>46</v>
      </c>
      <c r="E89" s="25">
        <v>2.0099999999999998</v>
      </c>
      <c r="F89" s="24" t="s">
        <v>5</v>
      </c>
      <c r="G89" s="15">
        <v>1.194</v>
      </c>
      <c r="H89" s="15">
        <f>M89+N89+O89+P89+Q89+R89+S89+T89+U89</f>
        <v>1.1940000000000002</v>
      </c>
      <c r="I89" s="15">
        <v>0</v>
      </c>
      <c r="J89" s="15"/>
      <c r="K89" s="15"/>
      <c r="L89" s="15">
        <v>0</v>
      </c>
      <c r="M89" s="15">
        <v>0.30299999999999999</v>
      </c>
      <c r="N89" s="15">
        <v>0.45</v>
      </c>
      <c r="O89" s="15">
        <v>0</v>
      </c>
      <c r="P89" s="15">
        <v>0</v>
      </c>
      <c r="Q89" s="15">
        <v>0.36699999999999999</v>
      </c>
      <c r="R89" s="15">
        <v>0</v>
      </c>
      <c r="S89" s="15">
        <v>0</v>
      </c>
      <c r="T89" s="15">
        <v>0</v>
      </c>
      <c r="U89" s="15">
        <v>7.3999999999999996E-2</v>
      </c>
      <c r="V89" s="175"/>
      <c r="W89" s="91"/>
      <c r="X89" s="14"/>
      <c r="Y89" s="14"/>
    </row>
    <row r="90" spans="1:26" ht="15.75" thickBot="1" x14ac:dyDescent="0.3">
      <c r="A90" s="24" t="s">
        <v>100</v>
      </c>
      <c r="B90" s="24" t="s">
        <v>101</v>
      </c>
      <c r="C90" s="24" t="s">
        <v>102</v>
      </c>
      <c r="D90" s="24" t="s">
        <v>46</v>
      </c>
      <c r="E90" s="25">
        <v>2.0699999999999998</v>
      </c>
      <c r="F90" s="24" t="s">
        <v>5</v>
      </c>
      <c r="G90" s="15">
        <v>1.093</v>
      </c>
      <c r="H90" s="15">
        <f>M90+N90+O90+P90+Q90+R90+S90+T90+U90</f>
        <v>1.093</v>
      </c>
      <c r="I90" s="15">
        <v>0</v>
      </c>
      <c r="J90" s="15"/>
      <c r="K90" s="15"/>
      <c r="L90" s="15">
        <v>0</v>
      </c>
      <c r="M90" s="15">
        <v>0.22</v>
      </c>
      <c r="N90" s="15">
        <v>0.70299999999999996</v>
      </c>
      <c r="O90" s="15"/>
      <c r="P90" s="15">
        <v>0</v>
      </c>
      <c r="Q90" s="15">
        <v>0.13400000000000001</v>
      </c>
      <c r="R90" s="15">
        <v>0</v>
      </c>
      <c r="S90" s="15">
        <v>0</v>
      </c>
      <c r="T90" s="15">
        <v>0</v>
      </c>
      <c r="U90" s="15">
        <v>3.5999999999999997E-2</v>
      </c>
      <c r="V90" s="175"/>
      <c r="W90" s="92"/>
      <c r="X90" s="13"/>
      <c r="Y90" s="13"/>
    </row>
    <row r="91" spans="1:26" s="82" customFormat="1" ht="16.5" thickBot="1" x14ac:dyDescent="0.3">
      <c r="A91" s="132" t="s">
        <v>303</v>
      </c>
      <c r="B91" s="133"/>
      <c r="C91" s="96"/>
      <c r="D91" s="96"/>
      <c r="E91" s="97">
        <f>SUM(E77:E90)</f>
        <v>85.25</v>
      </c>
      <c r="F91" s="97" t="s">
        <v>330</v>
      </c>
      <c r="G91" s="97">
        <f t="shared" ref="G91:U91" si="11">SUM(G77:G90)</f>
        <v>48.412999999999997</v>
      </c>
      <c r="H91" s="97">
        <f>SUM(H77:H90)</f>
        <v>49.387</v>
      </c>
      <c r="I91" s="97">
        <f t="shared" si="11"/>
        <v>0.873</v>
      </c>
      <c r="J91" s="97">
        <f t="shared" si="11"/>
        <v>4.4649999999999999</v>
      </c>
      <c r="K91" s="97">
        <f t="shared" si="11"/>
        <v>4.3460000000000001</v>
      </c>
      <c r="L91" s="97">
        <f t="shared" si="11"/>
        <v>2.1350000000000002</v>
      </c>
      <c r="M91" s="97">
        <f t="shared" si="11"/>
        <v>26.376999999999995</v>
      </c>
      <c r="N91" s="97">
        <f t="shared" si="11"/>
        <v>1.7919999999999998</v>
      </c>
      <c r="O91" s="97">
        <f t="shared" si="11"/>
        <v>6.0000000000000001E-3</v>
      </c>
      <c r="P91" s="97">
        <f t="shared" si="11"/>
        <v>1.1500000000000001</v>
      </c>
      <c r="Q91" s="97">
        <f t="shared" si="11"/>
        <v>1.7810000000000001</v>
      </c>
      <c r="R91" s="97">
        <f t="shared" si="11"/>
        <v>0</v>
      </c>
      <c r="S91" s="97">
        <f t="shared" si="11"/>
        <v>0.86099999999999999</v>
      </c>
      <c r="T91" s="97">
        <f t="shared" si="11"/>
        <v>15.65</v>
      </c>
      <c r="U91" s="97">
        <f t="shared" si="11"/>
        <v>1.7700000000000002</v>
      </c>
      <c r="V91" s="98"/>
      <c r="W91" s="84"/>
      <c r="X91" s="78"/>
      <c r="Y91" s="79"/>
    </row>
    <row r="92" spans="1:26" ht="21.75" customHeight="1" x14ac:dyDescent="0.3">
      <c r="A92" s="184" t="s">
        <v>271</v>
      </c>
      <c r="B92" s="100"/>
      <c r="C92" s="100"/>
      <c r="D92" s="101"/>
      <c r="E92" s="102">
        <f>E91+E76+E40+E30+E14+E4</f>
        <v>306.274</v>
      </c>
      <c r="F92" s="102" t="s">
        <v>330</v>
      </c>
      <c r="G92" s="102">
        <f t="shared" ref="G92:U92" si="12">G91+G76+G40+G30+G14+G4</f>
        <v>182.61699999999996</v>
      </c>
      <c r="H92" s="102">
        <f t="shared" si="12"/>
        <v>192.47149999999999</v>
      </c>
      <c r="I92" s="102">
        <f t="shared" si="12"/>
        <v>10.590000000000002</v>
      </c>
      <c r="J92" s="102">
        <f t="shared" si="12"/>
        <v>40.0045</v>
      </c>
      <c r="K92" s="102">
        <f t="shared" si="12"/>
        <v>39.772000000000006</v>
      </c>
      <c r="L92" s="102">
        <f t="shared" si="12"/>
        <v>7.3530000000000006</v>
      </c>
      <c r="M92" s="102">
        <f t="shared" si="12"/>
        <v>94.991</v>
      </c>
      <c r="N92" s="102">
        <f t="shared" si="12"/>
        <v>13.211499999999999</v>
      </c>
      <c r="O92" s="102">
        <f t="shared" si="12"/>
        <v>0.79899999999999993</v>
      </c>
      <c r="P92" s="102">
        <f t="shared" si="12"/>
        <v>2.3800000000000003</v>
      </c>
      <c r="Q92" s="102">
        <f t="shared" si="12"/>
        <v>34.038000000000004</v>
      </c>
      <c r="R92" s="102">
        <f t="shared" si="12"/>
        <v>0</v>
      </c>
      <c r="S92" s="102">
        <f t="shared" si="12"/>
        <v>15.184000000000001</v>
      </c>
      <c r="T92" s="102">
        <f t="shared" si="12"/>
        <v>25.997999999999998</v>
      </c>
      <c r="U92" s="102">
        <f t="shared" si="12"/>
        <v>5.87</v>
      </c>
      <c r="V92" s="103"/>
      <c r="W92" s="95"/>
      <c r="X92" s="41"/>
      <c r="Y92" s="41"/>
    </row>
    <row r="93" spans="1:26" ht="27.6" customHeight="1" x14ac:dyDescent="0.25">
      <c r="A93" s="2"/>
      <c r="B93" s="2"/>
      <c r="C93" s="2"/>
      <c r="D93" s="2"/>
      <c r="E93" s="2"/>
      <c r="F93" s="2"/>
      <c r="G93" s="47" t="s">
        <v>258</v>
      </c>
      <c r="H93" s="45" t="s">
        <v>259</v>
      </c>
      <c r="I93" s="45" t="s">
        <v>255</v>
      </c>
      <c r="J93" s="45" t="s">
        <v>252</v>
      </c>
      <c r="K93" s="45" t="s">
        <v>254</v>
      </c>
      <c r="L93" s="45" t="s">
        <v>256</v>
      </c>
      <c r="M93" s="5" t="s">
        <v>262</v>
      </c>
      <c r="N93" s="5" t="s">
        <v>263</v>
      </c>
      <c r="O93" s="6" t="s">
        <v>264</v>
      </c>
      <c r="P93" s="7" t="s">
        <v>265</v>
      </c>
      <c r="Q93" s="3" t="s">
        <v>266</v>
      </c>
      <c r="R93" s="40" t="s">
        <v>267</v>
      </c>
      <c r="S93" s="3" t="s">
        <v>213</v>
      </c>
      <c r="T93" s="3" t="s">
        <v>214</v>
      </c>
      <c r="U93" s="3" t="s">
        <v>268</v>
      </c>
      <c r="V93" s="3"/>
      <c r="W93" s="3"/>
      <c r="X93" s="3"/>
      <c r="Y93" s="1"/>
    </row>
    <row r="94" spans="1:26" ht="40.5" thickBot="1" x14ac:dyDescent="0.35">
      <c r="A94" s="44" t="s">
        <v>272</v>
      </c>
      <c r="B94" s="43" t="s">
        <v>273</v>
      </c>
      <c r="C94" s="42"/>
      <c r="D94" s="42"/>
      <c r="E94" s="42"/>
      <c r="F94" s="42"/>
      <c r="G94" s="47" t="s">
        <v>253</v>
      </c>
      <c r="H94" s="48" t="s">
        <v>253</v>
      </c>
      <c r="I94" s="45" t="s">
        <v>253</v>
      </c>
      <c r="J94" s="48" t="s">
        <v>253</v>
      </c>
      <c r="K94" s="48" t="s">
        <v>253</v>
      </c>
      <c r="L94" s="46" t="s">
        <v>274</v>
      </c>
      <c r="M94" s="49"/>
      <c r="N94" s="49"/>
      <c r="O94" s="50"/>
      <c r="P94" s="19"/>
      <c r="Q94" s="22"/>
      <c r="R94" s="22"/>
      <c r="S94" s="3"/>
      <c r="T94" s="3"/>
      <c r="U94" s="3"/>
      <c r="V94" s="3"/>
      <c r="W94" s="3"/>
      <c r="X94" s="3"/>
      <c r="Y94" s="1"/>
    </row>
    <row r="95" spans="1:26" x14ac:dyDescent="0.25">
      <c r="A95" s="2"/>
      <c r="B95" s="2"/>
      <c r="C95" s="2"/>
      <c r="D95" s="2"/>
      <c r="E95" s="2"/>
      <c r="F95" s="2"/>
      <c r="G95" s="51"/>
      <c r="H95" s="52" t="s">
        <v>251</v>
      </c>
      <c r="I95" s="53"/>
      <c r="J95" s="53"/>
      <c r="K95" s="53"/>
      <c r="L95" s="54"/>
      <c r="M95" s="55"/>
      <c r="N95" s="53"/>
      <c r="O95" s="53"/>
      <c r="P95" s="56"/>
      <c r="Q95" s="53"/>
      <c r="R95" s="56"/>
      <c r="S95" s="53"/>
      <c r="T95" s="53"/>
      <c r="U95" s="57"/>
      <c r="V95" s="7"/>
      <c r="W95" s="3"/>
      <c r="X95" s="3"/>
      <c r="Y95" s="1"/>
    </row>
    <row r="96" spans="1:26" ht="15.75" thickBot="1" x14ac:dyDescent="0.3">
      <c r="A96" s="2"/>
      <c r="B96" s="2"/>
      <c r="C96" s="2"/>
      <c r="D96" s="2"/>
      <c r="E96" s="2"/>
      <c r="F96" s="2"/>
      <c r="G96" s="51"/>
      <c r="H96" s="58" t="s">
        <v>261</v>
      </c>
      <c r="I96" s="59">
        <v>4.54</v>
      </c>
      <c r="J96" s="59"/>
      <c r="K96" s="59"/>
      <c r="L96" s="60">
        <v>18.100000000000001</v>
      </c>
      <c r="M96" s="59">
        <v>66.73</v>
      </c>
      <c r="N96" s="59">
        <v>18.420000000000002</v>
      </c>
      <c r="O96" s="59">
        <v>5.25</v>
      </c>
      <c r="P96" s="59">
        <v>2.9</v>
      </c>
      <c r="Q96" s="59">
        <v>50.9</v>
      </c>
      <c r="R96" s="59">
        <v>0</v>
      </c>
      <c r="S96" s="59">
        <v>33.49</v>
      </c>
      <c r="T96" s="59">
        <v>23.17</v>
      </c>
      <c r="U96" s="61">
        <v>13.92</v>
      </c>
      <c r="V96" s="7"/>
      <c r="W96" s="3"/>
      <c r="X96" s="3"/>
      <c r="Y96" s="1"/>
    </row>
    <row r="97" spans="1:25" x14ac:dyDescent="0.25">
      <c r="A97" s="2"/>
      <c r="B97" s="2"/>
      <c r="C97" s="2"/>
      <c r="D97" s="2"/>
      <c r="E97" s="2"/>
      <c r="F97" s="2"/>
      <c r="G97" s="4"/>
      <c r="H97" s="38" t="s">
        <v>210</v>
      </c>
      <c r="I97" s="20"/>
      <c r="J97" s="19"/>
      <c r="K97" s="19"/>
      <c r="L97" s="21"/>
      <c r="M97" s="20"/>
      <c r="N97" s="20"/>
      <c r="O97" s="23"/>
      <c r="P97" s="19"/>
      <c r="Q97" s="22"/>
      <c r="R97" s="22"/>
      <c r="S97" s="3"/>
      <c r="T97" s="3"/>
      <c r="U97" s="3"/>
      <c r="V97" s="3"/>
      <c r="W97" s="3"/>
      <c r="X97" s="3"/>
      <c r="Y97" s="1"/>
    </row>
    <row r="98" spans="1:25" x14ac:dyDescent="0.25">
      <c r="A98" s="2"/>
      <c r="B98" s="2"/>
      <c r="C98" s="2"/>
      <c r="D98" s="2"/>
      <c r="E98" s="2"/>
      <c r="F98" s="2"/>
      <c r="G98" s="4"/>
      <c r="H98" s="39" t="s">
        <v>260</v>
      </c>
      <c r="I98" s="20"/>
      <c r="J98" s="19"/>
      <c r="K98" s="19"/>
      <c r="L98" s="21"/>
      <c r="M98" s="20"/>
      <c r="N98" s="20"/>
      <c r="O98" s="23"/>
      <c r="P98" s="19"/>
      <c r="Q98" s="22"/>
      <c r="R98" s="22"/>
      <c r="S98" s="3"/>
      <c r="T98" s="3"/>
      <c r="U98" s="3"/>
      <c r="V98" s="3"/>
      <c r="W98" s="3"/>
      <c r="X98" s="3"/>
      <c r="Y98" s="1"/>
    </row>
    <row r="99" spans="1:25" ht="19.5" customHeight="1" thickBot="1" x14ac:dyDescent="0.3">
      <c r="A99" s="2"/>
      <c r="B99" s="2"/>
      <c r="C99" s="2"/>
      <c r="D99" s="2"/>
      <c r="E99" s="163">
        <v>-46.88900000000001</v>
      </c>
      <c r="F99" s="163"/>
      <c r="G99" s="163">
        <v>-30.901400000000024</v>
      </c>
      <c r="H99" s="163">
        <v>-13.118900000000025</v>
      </c>
      <c r="I99" s="163">
        <v>2.1600000000000019</v>
      </c>
      <c r="J99" s="163">
        <v>26.825500000000002</v>
      </c>
      <c r="K99" s="163">
        <v>1.3090000000000046</v>
      </c>
      <c r="L99" s="163">
        <v>-5.1199999999999966</v>
      </c>
      <c r="M99" s="163">
        <v>8.541000000000011</v>
      </c>
      <c r="N99" s="163">
        <v>-0.31350000000000122</v>
      </c>
      <c r="O99" s="163">
        <v>-12.667000000000002</v>
      </c>
      <c r="P99" s="163">
        <v>-2.2704</v>
      </c>
      <c r="Q99" s="163">
        <v>6.7370000000000019</v>
      </c>
      <c r="R99" s="163">
        <v>0</v>
      </c>
      <c r="S99" s="163">
        <v>-12.719999999999999</v>
      </c>
      <c r="T99" s="163">
        <v>-0.5</v>
      </c>
      <c r="U99" s="163">
        <v>7.4000000000000732E-2</v>
      </c>
      <c r="V99" s="3"/>
      <c r="W99" s="3"/>
      <c r="X99" s="3"/>
      <c r="Y99" s="1"/>
    </row>
    <row r="100" spans="1:25" ht="46.9" customHeight="1" x14ac:dyDescent="0.25">
      <c r="A100" s="2"/>
      <c r="B100" s="2"/>
      <c r="C100" s="2"/>
      <c r="D100" s="2"/>
      <c r="E100" s="2"/>
      <c r="F100" s="2"/>
      <c r="G100" s="51"/>
      <c r="H100" s="64" t="s">
        <v>286</v>
      </c>
      <c r="I100" s="65" t="s">
        <v>275</v>
      </c>
      <c r="J100" s="65"/>
      <c r="K100" s="65"/>
      <c r="L100" s="66" t="s">
        <v>278</v>
      </c>
      <c r="M100" s="65" t="s">
        <v>281</v>
      </c>
      <c r="N100" s="65" t="s">
        <v>283</v>
      </c>
      <c r="O100" s="75" t="s">
        <v>284</v>
      </c>
      <c r="P100" s="65" t="s">
        <v>287</v>
      </c>
      <c r="Q100" s="65" t="s">
        <v>289</v>
      </c>
      <c r="R100" s="65" t="s">
        <v>291</v>
      </c>
      <c r="S100" s="65" t="s">
        <v>292</v>
      </c>
      <c r="T100" s="65" t="s">
        <v>294</v>
      </c>
      <c r="U100" s="67" t="s">
        <v>296</v>
      </c>
      <c r="V100" s="7"/>
      <c r="W100" s="3"/>
      <c r="X100" s="3"/>
      <c r="Y100" s="1"/>
    </row>
    <row r="101" spans="1:25" ht="26.45" customHeight="1" x14ac:dyDescent="0.25">
      <c r="H101" s="68" t="s">
        <v>276</v>
      </c>
      <c r="I101" s="62" t="s">
        <v>277</v>
      </c>
      <c r="J101" s="62"/>
      <c r="K101" s="62"/>
      <c r="L101" s="62" t="s">
        <v>279</v>
      </c>
      <c r="M101" s="63" t="s">
        <v>280</v>
      </c>
      <c r="N101" s="72" t="s">
        <v>282</v>
      </c>
      <c r="O101" s="72" t="s">
        <v>285</v>
      </c>
      <c r="P101" s="62" t="s">
        <v>288</v>
      </c>
      <c r="Q101" s="72" t="s">
        <v>290</v>
      </c>
      <c r="R101" s="62"/>
      <c r="S101" s="72" t="s">
        <v>293</v>
      </c>
      <c r="T101" s="72" t="s">
        <v>295</v>
      </c>
      <c r="U101" s="73" t="s">
        <v>297</v>
      </c>
    </row>
    <row r="102" spans="1:25" ht="15.75" thickBot="1" x14ac:dyDescent="0.3">
      <c r="H102" s="74" t="s">
        <v>324</v>
      </c>
      <c r="I102" s="69">
        <f>SUM(I92-I96)</f>
        <v>6.0500000000000016</v>
      </c>
      <c r="J102" s="69"/>
      <c r="K102" s="69"/>
      <c r="L102" s="70">
        <f t="shared" ref="L102:U102" si="13">SUM(L92-L96)</f>
        <v>-10.747</v>
      </c>
      <c r="M102" s="69">
        <f t="shared" si="13"/>
        <v>28.260999999999996</v>
      </c>
      <c r="N102" s="70">
        <f t="shared" si="13"/>
        <v>-5.2085000000000026</v>
      </c>
      <c r="O102" s="70">
        <f t="shared" si="13"/>
        <v>-4.4510000000000005</v>
      </c>
      <c r="P102" s="69">
        <f t="shared" si="13"/>
        <v>-0.51999999999999957</v>
      </c>
      <c r="Q102" s="70">
        <f t="shared" si="13"/>
        <v>-16.861999999999995</v>
      </c>
      <c r="R102" s="69">
        <f t="shared" si="13"/>
        <v>0</v>
      </c>
      <c r="S102" s="70">
        <f t="shared" si="13"/>
        <v>-18.306000000000001</v>
      </c>
      <c r="T102" s="70">
        <f t="shared" si="13"/>
        <v>2.8279999999999959</v>
      </c>
      <c r="U102" s="71">
        <f t="shared" si="13"/>
        <v>-8.0500000000000007</v>
      </c>
    </row>
    <row r="103" spans="1:25" x14ac:dyDescent="0.25">
      <c r="H103" t="s">
        <v>250</v>
      </c>
      <c r="I103" t="s">
        <v>298</v>
      </c>
      <c r="L103" t="s">
        <v>298</v>
      </c>
      <c r="M103" t="s">
        <v>298</v>
      </c>
      <c r="N103" t="s">
        <v>298</v>
      </c>
      <c r="O103" t="s">
        <v>298</v>
      </c>
      <c r="P103" t="s">
        <v>298</v>
      </c>
      <c r="Q103" t="s">
        <v>298</v>
      </c>
      <c r="R103" t="s">
        <v>298</v>
      </c>
      <c r="S103" t="s">
        <v>298</v>
      </c>
      <c r="T103" t="s">
        <v>298</v>
      </c>
      <c r="U103" t="s">
        <v>298</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579A-3D55-4D32-AEAA-6CA54254FB18}">
  <sheetPr>
    <pageSetUpPr fitToPage="1"/>
  </sheetPr>
  <dimension ref="A1:A4"/>
  <sheetViews>
    <sheetView tabSelected="1" workbookViewId="0">
      <selection activeCell="A4" sqref="A4"/>
    </sheetView>
  </sheetViews>
  <sheetFormatPr defaultRowHeight="15" x14ac:dyDescent="0.25"/>
  <cols>
    <col min="1" max="1" width="106.140625" style="619" customWidth="1"/>
    <col min="2" max="16384" width="9.140625" style="619"/>
  </cols>
  <sheetData>
    <row r="1" spans="1:1" ht="66" customHeight="1" x14ac:dyDescent="0.25">
      <c r="A1" s="618" t="s">
        <v>530</v>
      </c>
    </row>
    <row r="2" spans="1:1" ht="53.25" customHeight="1" x14ac:dyDescent="0.25">
      <c r="A2" s="620" t="s">
        <v>541</v>
      </c>
    </row>
    <row r="3" spans="1:1" ht="60.75" customHeight="1" x14ac:dyDescent="0.25">
      <c r="A3" s="621" t="s">
        <v>542</v>
      </c>
    </row>
    <row r="4" spans="1:1" ht="147" customHeight="1" x14ac:dyDescent="0.25">
      <c r="A4" s="621" t="s">
        <v>543</v>
      </c>
    </row>
  </sheetData>
  <pageMargins left="0.7" right="0.7" top="0.75" bottom="0.75"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46B5F-A9D0-4827-86D5-5BF3F49BF2B1}">
  <sheetPr>
    <pageSetUpPr fitToPage="1"/>
  </sheetPr>
  <dimension ref="A1:V113"/>
  <sheetViews>
    <sheetView zoomScale="90" zoomScaleNormal="90" workbookViewId="0">
      <pane ySplit="2" topLeftCell="A90" activePane="bottomLeft" state="frozen"/>
      <selection pane="bottomLeft" activeCell="A102" sqref="A102"/>
    </sheetView>
  </sheetViews>
  <sheetFormatPr defaultColWidth="9.140625" defaultRowHeight="15.75" x14ac:dyDescent="0.25"/>
  <cols>
    <col min="1" max="1" width="17.85546875" style="589" customWidth="1"/>
    <col min="2" max="2" width="15.28515625" style="435" customWidth="1"/>
    <col min="3" max="3" width="41.140625" style="435" customWidth="1"/>
    <col min="4" max="4" width="29.85546875" style="435" bestFit="1" customWidth="1"/>
    <col min="5" max="5" width="15.28515625" style="435" customWidth="1"/>
    <col min="6" max="6" width="16.140625" style="435" customWidth="1"/>
    <col min="7" max="7" width="16" style="435" customWidth="1"/>
    <col min="8" max="8" width="17.28515625" style="435" customWidth="1"/>
    <col min="9" max="9" width="15.7109375" style="435" customWidth="1"/>
    <col min="10" max="10" width="14.28515625" style="435" customWidth="1"/>
    <col min="11" max="11" width="12.28515625" style="435" customWidth="1"/>
    <col min="12" max="12" width="14.85546875" style="435" customWidth="1"/>
    <col min="13" max="13" width="12.7109375" style="435" customWidth="1"/>
    <col min="14" max="14" width="13" style="435" customWidth="1"/>
    <col min="15" max="15" width="14.28515625" style="435" customWidth="1"/>
    <col min="16" max="20" width="13" style="435" customWidth="1"/>
    <col min="21" max="21" width="71.42578125" style="435" customWidth="1"/>
    <col min="22" max="22" width="20.5703125" style="435" customWidth="1"/>
    <col min="23" max="16384" width="9.140625" style="435"/>
  </cols>
  <sheetData>
    <row r="1" spans="1:22" ht="16.5" customHeight="1" thickBot="1" x14ac:dyDescent="0.3">
      <c r="A1" s="625" t="s">
        <v>359</v>
      </c>
      <c r="B1" s="627" t="s">
        <v>529</v>
      </c>
      <c r="C1" s="628"/>
      <c r="D1" s="628"/>
      <c r="E1" s="628"/>
      <c r="F1" s="628"/>
      <c r="G1" s="628"/>
      <c r="H1" s="628"/>
      <c r="I1" s="628"/>
      <c r="J1" s="628"/>
      <c r="K1" s="628"/>
      <c r="L1" s="628"/>
      <c r="M1" s="628"/>
      <c r="N1" s="628"/>
      <c r="O1" s="628"/>
      <c r="P1" s="628"/>
      <c r="Q1" s="628"/>
      <c r="R1" s="628"/>
      <c r="S1" s="628"/>
      <c r="T1" s="629"/>
      <c r="U1" s="625" t="s">
        <v>204</v>
      </c>
    </row>
    <row r="2" spans="1:22" ht="32.25" thickBot="1" x14ac:dyDescent="0.3">
      <c r="A2" s="626"/>
      <c r="B2" s="436" t="s">
        <v>357</v>
      </c>
      <c r="C2" s="437" t="s">
        <v>222</v>
      </c>
      <c r="D2" s="438" t="s">
        <v>358</v>
      </c>
      <c r="E2" s="439" t="s">
        <v>367</v>
      </c>
      <c r="F2" s="437" t="s">
        <v>368</v>
      </c>
      <c r="G2" s="437" t="s">
        <v>369</v>
      </c>
      <c r="H2" s="437" t="s">
        <v>370</v>
      </c>
      <c r="I2" s="437" t="s">
        <v>371</v>
      </c>
      <c r="J2" s="438" t="s">
        <v>372</v>
      </c>
      <c r="K2" s="440" t="s">
        <v>373</v>
      </c>
      <c r="L2" s="439" t="s">
        <v>374</v>
      </c>
      <c r="M2" s="437" t="s">
        <v>211</v>
      </c>
      <c r="N2" s="437" t="s">
        <v>375</v>
      </c>
      <c r="O2" s="437" t="s">
        <v>212</v>
      </c>
      <c r="P2" s="437" t="s">
        <v>376</v>
      </c>
      <c r="Q2" s="437" t="s">
        <v>377</v>
      </c>
      <c r="R2" s="437" t="s">
        <v>213</v>
      </c>
      <c r="S2" s="437" t="s">
        <v>214</v>
      </c>
      <c r="T2" s="438" t="s">
        <v>215</v>
      </c>
      <c r="U2" s="626"/>
    </row>
    <row r="3" spans="1:22" x14ac:dyDescent="0.25">
      <c r="A3" s="638" t="s">
        <v>415</v>
      </c>
      <c r="B3" s="441" t="s">
        <v>309</v>
      </c>
      <c r="C3" s="442" t="s">
        <v>310</v>
      </c>
      <c r="D3" s="443" t="s">
        <v>306</v>
      </c>
      <c r="E3" s="444">
        <v>6</v>
      </c>
      <c r="F3" s="445">
        <v>3.8929999999999998</v>
      </c>
      <c r="G3" s="445">
        <f>L3+M3+N3+O3+P3+Q3+R3+S3+T3</f>
        <v>3.24</v>
      </c>
      <c r="H3" s="445">
        <v>0</v>
      </c>
      <c r="I3" s="445">
        <v>0</v>
      </c>
      <c r="J3" s="446">
        <v>0</v>
      </c>
      <c r="K3" s="447">
        <v>0.89400000000000002</v>
      </c>
      <c r="L3" s="444">
        <v>2.8180000000000001</v>
      </c>
      <c r="M3" s="445">
        <v>0.17199999999999999</v>
      </c>
      <c r="N3" s="445">
        <v>0</v>
      </c>
      <c r="O3" s="445">
        <v>0</v>
      </c>
      <c r="P3" s="445">
        <v>0</v>
      </c>
      <c r="Q3" s="445">
        <v>0</v>
      </c>
      <c r="R3" s="445">
        <v>0.25</v>
      </c>
      <c r="S3" s="445">
        <v>0</v>
      </c>
      <c r="T3" s="447">
        <v>0</v>
      </c>
      <c r="U3" s="448" t="s">
        <v>381</v>
      </c>
    </row>
    <row r="4" spans="1:22" ht="16.5" thickBot="1" x14ac:dyDescent="0.3">
      <c r="A4" s="639"/>
      <c r="B4" s="449" t="s">
        <v>308</v>
      </c>
      <c r="C4" s="450" t="s">
        <v>311</v>
      </c>
      <c r="D4" s="451" t="s">
        <v>306</v>
      </c>
      <c r="E4" s="452">
        <v>1.8</v>
      </c>
      <c r="F4" s="453">
        <v>5.0000000000000001E-3</v>
      </c>
      <c r="G4" s="453">
        <v>0</v>
      </c>
      <c r="H4" s="453">
        <v>0</v>
      </c>
      <c r="I4" s="453">
        <v>0</v>
      </c>
      <c r="J4" s="454">
        <v>0</v>
      </c>
      <c r="K4" s="455">
        <v>0</v>
      </c>
      <c r="L4" s="452">
        <v>0</v>
      </c>
      <c r="M4" s="453">
        <v>0</v>
      </c>
      <c r="N4" s="453">
        <v>0</v>
      </c>
      <c r="O4" s="453">
        <v>0</v>
      </c>
      <c r="P4" s="453">
        <v>0</v>
      </c>
      <c r="Q4" s="453">
        <v>0</v>
      </c>
      <c r="R4" s="453">
        <v>0</v>
      </c>
      <c r="S4" s="453">
        <v>0</v>
      </c>
      <c r="T4" s="455">
        <v>0</v>
      </c>
      <c r="U4" s="456" t="s">
        <v>382</v>
      </c>
    </row>
    <row r="5" spans="1:22" s="465" customFormat="1" ht="17.25" thickTop="1" thickBot="1" x14ac:dyDescent="0.3">
      <c r="A5" s="640"/>
      <c r="B5" s="636" t="s">
        <v>414</v>
      </c>
      <c r="C5" s="637"/>
      <c r="D5" s="637"/>
      <c r="E5" s="457">
        <f>SUM(E3:E4)</f>
        <v>7.8</v>
      </c>
      <c r="F5" s="458">
        <f t="shared" ref="F5:M5" si="0">SUM(F3:F4)</f>
        <v>3.8979999999999997</v>
      </c>
      <c r="G5" s="458">
        <f t="shared" si="0"/>
        <v>3.24</v>
      </c>
      <c r="H5" s="458">
        <f t="shared" si="0"/>
        <v>0</v>
      </c>
      <c r="I5" s="458">
        <f t="shared" si="0"/>
        <v>0</v>
      </c>
      <c r="J5" s="459">
        <f t="shared" si="0"/>
        <v>0</v>
      </c>
      <c r="K5" s="460">
        <f t="shared" si="0"/>
        <v>0.89400000000000002</v>
      </c>
      <c r="L5" s="457">
        <f t="shared" si="0"/>
        <v>2.8180000000000001</v>
      </c>
      <c r="M5" s="458">
        <f t="shared" si="0"/>
        <v>0.17199999999999999</v>
      </c>
      <c r="N5" s="458">
        <f t="shared" ref="N5:T5" si="1">SUM(N4:N4)</f>
        <v>0</v>
      </c>
      <c r="O5" s="461">
        <f t="shared" si="1"/>
        <v>0</v>
      </c>
      <c r="P5" s="458">
        <f t="shared" si="1"/>
        <v>0</v>
      </c>
      <c r="Q5" s="458">
        <f t="shared" si="1"/>
        <v>0</v>
      </c>
      <c r="R5" s="458">
        <f t="shared" si="1"/>
        <v>0</v>
      </c>
      <c r="S5" s="462">
        <f t="shared" si="1"/>
        <v>0</v>
      </c>
      <c r="T5" s="463">
        <f t="shared" si="1"/>
        <v>0</v>
      </c>
      <c r="U5" s="464"/>
    </row>
    <row r="6" spans="1:22" ht="16.5" customHeight="1" x14ac:dyDescent="0.25">
      <c r="A6" s="641" t="s">
        <v>216</v>
      </c>
      <c r="B6" s="466" t="s">
        <v>339</v>
      </c>
      <c r="C6" s="467" t="s">
        <v>354</v>
      </c>
      <c r="D6" s="468" t="s">
        <v>338</v>
      </c>
      <c r="E6" s="444">
        <v>80.900000000000006</v>
      </c>
      <c r="F6" s="469">
        <v>0</v>
      </c>
      <c r="G6" s="469">
        <f t="shared" ref="G6:G14" si="2">L6+M6+N6+O6+P6+Q6+R6+S6+T6</f>
        <v>5.1829999999999998</v>
      </c>
      <c r="H6" s="469">
        <v>0</v>
      </c>
      <c r="I6" s="469">
        <v>0</v>
      </c>
      <c r="J6" s="470">
        <v>0</v>
      </c>
      <c r="K6" s="471">
        <v>0</v>
      </c>
      <c r="L6" s="444">
        <v>0</v>
      </c>
      <c r="M6" s="469">
        <v>0</v>
      </c>
      <c r="N6" s="469">
        <f>0.693</f>
        <v>0.69299999999999995</v>
      </c>
      <c r="O6" s="469">
        <v>0.30499999999999999</v>
      </c>
      <c r="P6" s="445">
        <v>3.88</v>
      </c>
      <c r="Q6" s="469">
        <v>0</v>
      </c>
      <c r="R6" s="469">
        <v>0</v>
      </c>
      <c r="S6" s="469">
        <v>0</v>
      </c>
      <c r="T6" s="447">
        <v>0.30499999999999999</v>
      </c>
      <c r="U6" s="472" t="s">
        <v>531</v>
      </c>
      <c r="V6" s="465"/>
    </row>
    <row r="7" spans="1:22" x14ac:dyDescent="0.25">
      <c r="A7" s="639"/>
      <c r="B7" s="473" t="s">
        <v>54</v>
      </c>
      <c r="C7" s="474" t="s">
        <v>55</v>
      </c>
      <c r="D7" s="475" t="s">
        <v>55</v>
      </c>
      <c r="E7" s="476">
        <v>0.12</v>
      </c>
      <c r="F7" s="477">
        <v>3.5000000000000003E-2</v>
      </c>
      <c r="G7" s="477">
        <f t="shared" si="2"/>
        <v>3.5000000000000003E-2</v>
      </c>
      <c r="H7" s="477">
        <v>0</v>
      </c>
      <c r="I7" s="477">
        <v>0</v>
      </c>
      <c r="J7" s="478">
        <v>0</v>
      </c>
      <c r="K7" s="479">
        <v>0</v>
      </c>
      <c r="L7" s="480">
        <v>0</v>
      </c>
      <c r="M7" s="477">
        <v>0</v>
      </c>
      <c r="N7" s="477">
        <v>0</v>
      </c>
      <c r="O7" s="477">
        <v>0</v>
      </c>
      <c r="P7" s="477">
        <v>3.5000000000000003E-2</v>
      </c>
      <c r="Q7" s="477">
        <v>0</v>
      </c>
      <c r="R7" s="477">
        <v>0</v>
      </c>
      <c r="S7" s="477">
        <v>0</v>
      </c>
      <c r="T7" s="479">
        <v>0</v>
      </c>
      <c r="U7" s="481"/>
    </row>
    <row r="8" spans="1:22" x14ac:dyDescent="0.25">
      <c r="A8" s="639"/>
      <c r="B8" s="473" t="s">
        <v>51</v>
      </c>
      <c r="C8" s="474" t="s">
        <v>52</v>
      </c>
      <c r="D8" s="475" t="s">
        <v>53</v>
      </c>
      <c r="E8" s="476">
        <v>4</v>
      </c>
      <c r="F8" s="477">
        <v>3.0779999999999998</v>
      </c>
      <c r="G8" s="477">
        <f t="shared" si="2"/>
        <v>3.4380000000000006</v>
      </c>
      <c r="H8" s="477">
        <v>0.36</v>
      </c>
      <c r="I8" s="477">
        <v>0</v>
      </c>
      <c r="J8" s="478">
        <v>0</v>
      </c>
      <c r="K8" s="479">
        <v>0</v>
      </c>
      <c r="L8" s="480">
        <v>2.9220000000000002</v>
      </c>
      <c r="M8" s="477">
        <v>0.34100000000000003</v>
      </c>
      <c r="N8" s="477">
        <v>0</v>
      </c>
      <c r="O8" s="477">
        <v>0</v>
      </c>
      <c r="P8" s="477">
        <v>0.16400000000000001</v>
      </c>
      <c r="Q8" s="477">
        <v>0</v>
      </c>
      <c r="R8" s="477">
        <v>1.0999999999999999E-2</v>
      </c>
      <c r="S8" s="477">
        <v>0</v>
      </c>
      <c r="T8" s="479">
        <v>0</v>
      </c>
      <c r="U8" s="481"/>
    </row>
    <row r="9" spans="1:22" x14ac:dyDescent="0.25">
      <c r="A9" s="639"/>
      <c r="B9" s="473" t="s">
        <v>61</v>
      </c>
      <c r="C9" s="474" t="s">
        <v>207</v>
      </c>
      <c r="D9" s="475" t="s">
        <v>49</v>
      </c>
      <c r="E9" s="476">
        <v>0.99</v>
      </c>
      <c r="F9" s="477">
        <v>0.51900000000000002</v>
      </c>
      <c r="G9" s="477">
        <f t="shared" si="2"/>
        <v>0.42899999999999999</v>
      </c>
      <c r="H9" s="477">
        <v>0.22700000000000001</v>
      </c>
      <c r="I9" s="477">
        <v>0</v>
      </c>
      <c r="J9" s="478">
        <v>0</v>
      </c>
      <c r="K9" s="479">
        <v>0</v>
      </c>
      <c r="L9" s="480">
        <v>0.41799999999999998</v>
      </c>
      <c r="M9" s="477">
        <v>0</v>
      </c>
      <c r="N9" s="477">
        <v>0</v>
      </c>
      <c r="O9" s="477">
        <v>0</v>
      </c>
      <c r="P9" s="477">
        <v>1.0999999999999999E-2</v>
      </c>
      <c r="Q9" s="477">
        <v>0</v>
      </c>
      <c r="R9" s="477">
        <v>0</v>
      </c>
      <c r="S9" s="477">
        <v>0</v>
      </c>
      <c r="T9" s="479">
        <v>0</v>
      </c>
      <c r="U9" s="481"/>
    </row>
    <row r="10" spans="1:22" x14ac:dyDescent="0.25">
      <c r="A10" s="639"/>
      <c r="B10" s="473" t="s">
        <v>47</v>
      </c>
      <c r="C10" s="474" t="s">
        <v>48</v>
      </c>
      <c r="D10" s="475" t="s">
        <v>49</v>
      </c>
      <c r="E10" s="476">
        <v>0.99</v>
      </c>
      <c r="F10" s="477">
        <v>0.73699999999999999</v>
      </c>
      <c r="G10" s="477">
        <f t="shared" si="2"/>
        <v>0.75500000000000012</v>
      </c>
      <c r="H10" s="477">
        <v>1.7999999999999999E-2</v>
      </c>
      <c r="I10" s="477">
        <v>0</v>
      </c>
      <c r="J10" s="478">
        <v>0</v>
      </c>
      <c r="K10" s="479">
        <v>0</v>
      </c>
      <c r="L10" s="480">
        <v>0.68200000000000005</v>
      </c>
      <c r="M10" s="477">
        <v>0</v>
      </c>
      <c r="N10" s="477">
        <v>0</v>
      </c>
      <c r="O10" s="477">
        <v>4.0000000000000001E-3</v>
      </c>
      <c r="P10" s="477">
        <v>6.9000000000000006E-2</v>
      </c>
      <c r="Q10" s="477">
        <v>0</v>
      </c>
      <c r="R10" s="477">
        <v>0</v>
      </c>
      <c r="S10" s="477">
        <v>0</v>
      </c>
      <c r="T10" s="479">
        <v>0</v>
      </c>
      <c r="U10" s="481"/>
    </row>
    <row r="11" spans="1:22" x14ac:dyDescent="0.25">
      <c r="A11" s="639"/>
      <c r="B11" s="473" t="s">
        <v>56</v>
      </c>
      <c r="C11" s="474" t="s">
        <v>57</v>
      </c>
      <c r="D11" s="475" t="s">
        <v>58</v>
      </c>
      <c r="E11" s="476">
        <v>0.999</v>
      </c>
      <c r="F11" s="477">
        <v>0.59899999999999998</v>
      </c>
      <c r="G11" s="477">
        <f t="shared" si="2"/>
        <v>0.55500000000000005</v>
      </c>
      <c r="H11" s="477">
        <v>0</v>
      </c>
      <c r="I11" s="477">
        <v>0</v>
      </c>
      <c r="J11" s="478">
        <v>0</v>
      </c>
      <c r="K11" s="479">
        <v>0</v>
      </c>
      <c r="L11" s="480">
        <v>0.30499999999999999</v>
      </c>
      <c r="M11" s="477">
        <v>0</v>
      </c>
      <c r="N11" s="477">
        <v>0</v>
      </c>
      <c r="O11" s="477">
        <v>0</v>
      </c>
      <c r="P11" s="477">
        <v>0.222</v>
      </c>
      <c r="Q11" s="477">
        <v>0</v>
      </c>
      <c r="R11" s="477">
        <v>8.0000000000000002E-3</v>
      </c>
      <c r="S11" s="477">
        <v>0</v>
      </c>
      <c r="T11" s="479">
        <v>2.0000000000000004E-2</v>
      </c>
      <c r="U11" s="481"/>
    </row>
    <row r="12" spans="1:22" x14ac:dyDescent="0.25">
      <c r="A12" s="639"/>
      <c r="B12" s="482" t="s">
        <v>64</v>
      </c>
      <c r="C12" s="474" t="s">
        <v>65</v>
      </c>
      <c r="D12" s="475" t="s">
        <v>66</v>
      </c>
      <c r="E12" s="476">
        <v>1</v>
      </c>
      <c r="F12" s="477">
        <v>0.34200000000000003</v>
      </c>
      <c r="G12" s="477">
        <f t="shared" si="2"/>
        <v>0.34200000000000003</v>
      </c>
      <c r="H12" s="477">
        <v>0</v>
      </c>
      <c r="I12" s="477">
        <v>0</v>
      </c>
      <c r="J12" s="478">
        <v>0</v>
      </c>
      <c r="K12" s="479">
        <v>0</v>
      </c>
      <c r="L12" s="480">
        <v>0</v>
      </c>
      <c r="M12" s="477">
        <v>0</v>
      </c>
      <c r="N12" s="477">
        <v>0</v>
      </c>
      <c r="O12" s="477">
        <v>0</v>
      </c>
      <c r="P12" s="477">
        <v>0.34200000000000003</v>
      </c>
      <c r="Q12" s="477">
        <v>0</v>
      </c>
      <c r="R12" s="477">
        <v>0</v>
      </c>
      <c r="S12" s="477">
        <v>0</v>
      </c>
      <c r="T12" s="479">
        <v>0</v>
      </c>
      <c r="U12" s="481"/>
    </row>
    <row r="13" spans="1:22" x14ac:dyDescent="0.25">
      <c r="A13" s="639"/>
      <c r="B13" s="482" t="s">
        <v>62</v>
      </c>
      <c r="C13" s="474" t="s">
        <v>63</v>
      </c>
      <c r="D13" s="475" t="s">
        <v>63</v>
      </c>
      <c r="E13" s="476">
        <v>0.22500000000000001</v>
      </c>
      <c r="F13" s="477">
        <v>1.2E-2</v>
      </c>
      <c r="G13" s="477">
        <f t="shared" si="2"/>
        <v>1.2E-2</v>
      </c>
      <c r="H13" s="477">
        <v>0</v>
      </c>
      <c r="I13" s="477">
        <v>0</v>
      </c>
      <c r="J13" s="478">
        <v>0</v>
      </c>
      <c r="K13" s="479">
        <v>0</v>
      </c>
      <c r="L13" s="480">
        <v>0</v>
      </c>
      <c r="M13" s="477">
        <v>1.2E-2</v>
      </c>
      <c r="N13" s="477">
        <v>0</v>
      </c>
      <c r="O13" s="477">
        <v>0</v>
      </c>
      <c r="P13" s="477">
        <v>0</v>
      </c>
      <c r="Q13" s="477">
        <v>0</v>
      </c>
      <c r="R13" s="477">
        <v>0</v>
      </c>
      <c r="S13" s="477">
        <v>0</v>
      </c>
      <c r="T13" s="479">
        <v>0</v>
      </c>
      <c r="U13" s="481"/>
    </row>
    <row r="14" spans="1:22" ht="16.5" thickBot="1" x14ac:dyDescent="0.3">
      <c r="A14" s="639"/>
      <c r="B14" s="483" t="s">
        <v>59</v>
      </c>
      <c r="C14" s="484" t="s">
        <v>60</v>
      </c>
      <c r="D14" s="485" t="s">
        <v>60</v>
      </c>
      <c r="E14" s="486">
        <v>1.1499999999999999</v>
      </c>
      <c r="F14" s="487">
        <v>0.78500000000000003</v>
      </c>
      <c r="G14" s="487">
        <f t="shared" si="2"/>
        <v>0.78500000000000003</v>
      </c>
      <c r="H14" s="487">
        <v>0</v>
      </c>
      <c r="I14" s="487">
        <v>0</v>
      </c>
      <c r="J14" s="488">
        <v>0</v>
      </c>
      <c r="K14" s="489">
        <v>0</v>
      </c>
      <c r="L14" s="490">
        <v>0</v>
      </c>
      <c r="M14" s="487">
        <v>0</v>
      </c>
      <c r="N14" s="487">
        <v>0</v>
      </c>
      <c r="O14" s="487">
        <v>0</v>
      </c>
      <c r="P14" s="487">
        <v>0.78500000000000003</v>
      </c>
      <c r="Q14" s="487">
        <v>0</v>
      </c>
      <c r="R14" s="487">
        <v>0</v>
      </c>
      <c r="S14" s="487">
        <v>0</v>
      </c>
      <c r="T14" s="489">
        <v>0</v>
      </c>
      <c r="U14" s="491"/>
    </row>
    <row r="15" spans="1:22" s="465" customFormat="1" ht="17.25" thickTop="1" thickBot="1" x14ac:dyDescent="0.3">
      <c r="A15" s="640"/>
      <c r="B15" s="630" t="s">
        <v>411</v>
      </c>
      <c r="C15" s="631"/>
      <c r="D15" s="631"/>
      <c r="E15" s="457">
        <f>SUM(E6:E14)</f>
        <v>90.373999999999995</v>
      </c>
      <c r="F15" s="458">
        <f>SUM(F6:F14)</f>
        <v>6.1069999999999993</v>
      </c>
      <c r="G15" s="458">
        <f>SUM(G6:G14)</f>
        <v>11.534000000000002</v>
      </c>
      <c r="H15" s="458">
        <f t="shared" ref="H15:T15" si="3">SUM(H6:H14)</f>
        <v>0.60499999999999998</v>
      </c>
      <c r="I15" s="458">
        <f t="shared" si="3"/>
        <v>0</v>
      </c>
      <c r="J15" s="459">
        <f t="shared" si="3"/>
        <v>0</v>
      </c>
      <c r="K15" s="460">
        <f t="shared" si="3"/>
        <v>0</v>
      </c>
      <c r="L15" s="457">
        <f t="shared" si="3"/>
        <v>4.327</v>
      </c>
      <c r="M15" s="458">
        <f t="shared" si="3"/>
        <v>0.35300000000000004</v>
      </c>
      <c r="N15" s="458">
        <f t="shared" si="3"/>
        <v>0.69299999999999995</v>
      </c>
      <c r="O15" s="458">
        <f t="shared" si="3"/>
        <v>0.309</v>
      </c>
      <c r="P15" s="458">
        <f t="shared" si="3"/>
        <v>5.508</v>
      </c>
      <c r="Q15" s="458">
        <f t="shared" si="3"/>
        <v>0</v>
      </c>
      <c r="R15" s="458">
        <f t="shared" si="3"/>
        <v>1.9E-2</v>
      </c>
      <c r="S15" s="458">
        <f t="shared" si="3"/>
        <v>0</v>
      </c>
      <c r="T15" s="460">
        <f t="shared" si="3"/>
        <v>0.32500000000000001</v>
      </c>
      <c r="U15" s="464"/>
    </row>
    <row r="16" spans="1:22" ht="31.5" x14ac:dyDescent="0.25">
      <c r="A16" s="641" t="s">
        <v>218</v>
      </c>
      <c r="B16" s="466" t="s">
        <v>339</v>
      </c>
      <c r="C16" s="467" t="s">
        <v>355</v>
      </c>
      <c r="D16" s="468" t="s">
        <v>338</v>
      </c>
      <c r="E16" s="444">
        <v>80.900000000000006</v>
      </c>
      <c r="F16" s="469">
        <v>0</v>
      </c>
      <c r="G16" s="469">
        <f t="shared" ref="G16:G31" si="4">L16+M16+N16+O16+P16+Q16+R16+S16+T16</f>
        <v>26.805</v>
      </c>
      <c r="H16" s="469">
        <f>3.47</f>
        <v>3.47</v>
      </c>
      <c r="I16" s="469">
        <f>10.355+15.313</f>
        <v>25.667999999999999</v>
      </c>
      <c r="J16" s="470">
        <v>0</v>
      </c>
      <c r="K16" s="471">
        <v>0</v>
      </c>
      <c r="L16" s="444">
        <v>16.332000000000001</v>
      </c>
      <c r="M16" s="469">
        <v>1.4790000000000001</v>
      </c>
      <c r="N16" s="469">
        <v>0</v>
      </c>
      <c r="O16" s="469">
        <v>0</v>
      </c>
      <c r="P16" s="445">
        <v>8.9939999999999998</v>
      </c>
      <c r="Q16" s="469">
        <v>0</v>
      </c>
      <c r="R16" s="469">
        <v>0</v>
      </c>
      <c r="S16" s="469">
        <v>0</v>
      </c>
      <c r="T16" s="471">
        <v>0</v>
      </c>
      <c r="U16" s="472" t="s">
        <v>532</v>
      </c>
      <c r="V16" s="465"/>
    </row>
    <row r="17" spans="1:22" x14ac:dyDescent="0.25">
      <c r="A17" s="639"/>
      <c r="B17" s="473" t="s">
        <v>15</v>
      </c>
      <c r="C17" s="492" t="s">
        <v>345</v>
      </c>
      <c r="D17" s="475" t="s">
        <v>29</v>
      </c>
      <c r="E17" s="476">
        <v>21</v>
      </c>
      <c r="F17" s="477">
        <v>14.196</v>
      </c>
      <c r="G17" s="477">
        <f t="shared" si="4"/>
        <v>3.6340000000000003</v>
      </c>
      <c r="H17" s="477">
        <v>0</v>
      </c>
      <c r="I17" s="477">
        <v>0</v>
      </c>
      <c r="J17" s="478">
        <v>10.356</v>
      </c>
      <c r="K17" s="479">
        <v>0</v>
      </c>
      <c r="L17" s="480">
        <f>0.113+2.717</f>
        <v>2.83</v>
      </c>
      <c r="M17" s="477">
        <v>0.80400000000000005</v>
      </c>
      <c r="N17" s="477">
        <v>0</v>
      </c>
      <c r="O17" s="477">
        <v>0</v>
      </c>
      <c r="P17" s="477">
        <v>0</v>
      </c>
      <c r="Q17" s="477">
        <v>0</v>
      </c>
      <c r="R17" s="477">
        <v>0</v>
      </c>
      <c r="S17" s="477">
        <v>0</v>
      </c>
      <c r="T17" s="479">
        <v>0</v>
      </c>
      <c r="U17" s="493" t="s">
        <v>337</v>
      </c>
      <c r="V17" s="465"/>
    </row>
    <row r="18" spans="1:22" ht="31.5" x14ac:dyDescent="0.25">
      <c r="A18" s="639"/>
      <c r="B18" s="473" t="s">
        <v>19</v>
      </c>
      <c r="C18" s="492" t="s">
        <v>352</v>
      </c>
      <c r="D18" s="475" t="s">
        <v>28</v>
      </c>
      <c r="E18" s="476">
        <v>56</v>
      </c>
      <c r="F18" s="477">
        <v>23.975999999999999</v>
      </c>
      <c r="G18" s="477">
        <f t="shared" si="4"/>
        <v>8.6329999999999991</v>
      </c>
      <c r="H18" s="477">
        <v>0</v>
      </c>
      <c r="I18" s="477">
        <v>0</v>
      </c>
      <c r="J18" s="478">
        <v>15.313000000000001</v>
      </c>
      <c r="K18" s="479">
        <v>0</v>
      </c>
      <c r="L18" s="480">
        <f>1.592+3.813</f>
        <v>5.4050000000000002</v>
      </c>
      <c r="M18" s="477">
        <v>2.105</v>
      </c>
      <c r="N18" s="477">
        <v>0</v>
      </c>
      <c r="O18" s="477">
        <v>0.30499999999999999</v>
      </c>
      <c r="P18" s="477">
        <v>0</v>
      </c>
      <c r="Q18" s="477">
        <v>0</v>
      </c>
      <c r="R18" s="477">
        <f>0.803+0.015</f>
        <v>0.81800000000000006</v>
      </c>
      <c r="S18" s="477">
        <v>0</v>
      </c>
      <c r="T18" s="479">
        <v>0</v>
      </c>
      <c r="U18" s="493" t="s">
        <v>533</v>
      </c>
      <c r="V18" s="465"/>
    </row>
    <row r="19" spans="1:22" ht="63" x14ac:dyDescent="0.25">
      <c r="A19" s="639"/>
      <c r="B19" s="482" t="s">
        <v>22</v>
      </c>
      <c r="C19" s="492" t="s">
        <v>34</v>
      </c>
      <c r="D19" s="475" t="s">
        <v>25</v>
      </c>
      <c r="E19" s="476">
        <v>7.5</v>
      </c>
      <c r="F19" s="477">
        <v>5.39</v>
      </c>
      <c r="G19" s="477">
        <f t="shared" si="4"/>
        <v>13.299999999999999</v>
      </c>
      <c r="H19" s="477">
        <v>0.44</v>
      </c>
      <c r="I19" s="477">
        <v>0</v>
      </c>
      <c r="J19" s="478">
        <v>0</v>
      </c>
      <c r="K19" s="479">
        <v>0</v>
      </c>
      <c r="L19" s="480">
        <f>6.36+6.84</f>
        <v>13.2</v>
      </c>
      <c r="M19" s="477">
        <v>0.06</v>
      </c>
      <c r="N19" s="477">
        <v>0</v>
      </c>
      <c r="O19" s="477">
        <v>0</v>
      </c>
      <c r="P19" s="477">
        <v>0.04</v>
      </c>
      <c r="Q19" s="477">
        <v>0</v>
      </c>
      <c r="R19" s="477">
        <v>0</v>
      </c>
      <c r="S19" s="477">
        <v>0</v>
      </c>
      <c r="T19" s="479">
        <v>0</v>
      </c>
      <c r="U19" s="494" t="s">
        <v>534</v>
      </c>
      <c r="V19" s="465"/>
    </row>
    <row r="20" spans="1:22" ht="18" customHeight="1" thickBot="1" x14ac:dyDescent="0.3">
      <c r="A20" s="639"/>
      <c r="B20" s="483" t="s">
        <v>23</v>
      </c>
      <c r="C20" s="495" t="s">
        <v>37</v>
      </c>
      <c r="D20" s="485" t="s">
        <v>30</v>
      </c>
      <c r="E20" s="486">
        <v>20</v>
      </c>
      <c r="F20" s="487">
        <v>11.257999999999999</v>
      </c>
      <c r="G20" s="487">
        <f t="shared" si="4"/>
        <v>11.305999999999999</v>
      </c>
      <c r="H20" s="487">
        <v>0.05</v>
      </c>
      <c r="I20" s="487">
        <v>0</v>
      </c>
      <c r="J20" s="488">
        <v>0</v>
      </c>
      <c r="K20" s="489">
        <v>0</v>
      </c>
      <c r="L20" s="490">
        <v>0</v>
      </c>
      <c r="M20" s="487">
        <v>0.752</v>
      </c>
      <c r="N20" s="487">
        <v>0</v>
      </c>
      <c r="O20" s="487">
        <v>0</v>
      </c>
      <c r="P20" s="487">
        <v>5.8</v>
      </c>
      <c r="Q20" s="487">
        <v>0</v>
      </c>
      <c r="R20" s="487">
        <v>3.218</v>
      </c>
      <c r="S20" s="487">
        <v>0</v>
      </c>
      <c r="T20" s="489">
        <v>1.536</v>
      </c>
      <c r="U20" s="456" t="s">
        <v>383</v>
      </c>
      <c r="V20" s="465"/>
    </row>
    <row r="21" spans="1:22" ht="17.25" thickTop="1" thickBot="1" x14ac:dyDescent="0.3">
      <c r="A21" s="640"/>
      <c r="B21" s="636" t="s">
        <v>360</v>
      </c>
      <c r="C21" s="637"/>
      <c r="D21" s="637"/>
      <c r="E21" s="457">
        <f>SUM(E16:E20)</f>
        <v>185.4</v>
      </c>
      <c r="F21" s="496">
        <f t="shared" ref="F21:T21" si="5">SUM(F16:F20)</f>
        <v>54.819999999999993</v>
      </c>
      <c r="G21" s="496">
        <f t="shared" si="5"/>
        <v>63.677999999999997</v>
      </c>
      <c r="H21" s="496">
        <f t="shared" si="5"/>
        <v>3.96</v>
      </c>
      <c r="I21" s="496">
        <f t="shared" si="5"/>
        <v>25.667999999999999</v>
      </c>
      <c r="J21" s="497">
        <f t="shared" si="5"/>
        <v>25.669</v>
      </c>
      <c r="K21" s="498">
        <f t="shared" si="5"/>
        <v>0</v>
      </c>
      <c r="L21" s="499">
        <f t="shared" si="5"/>
        <v>37.766999999999996</v>
      </c>
      <c r="M21" s="496">
        <f t="shared" si="5"/>
        <v>5.1999999999999993</v>
      </c>
      <c r="N21" s="496">
        <f t="shared" si="5"/>
        <v>0</v>
      </c>
      <c r="O21" s="496">
        <f t="shared" si="5"/>
        <v>0.30499999999999999</v>
      </c>
      <c r="P21" s="496">
        <f t="shared" si="5"/>
        <v>14.834</v>
      </c>
      <c r="Q21" s="496">
        <f t="shared" si="5"/>
        <v>0</v>
      </c>
      <c r="R21" s="496">
        <f t="shared" si="5"/>
        <v>4.0359999999999996</v>
      </c>
      <c r="S21" s="496">
        <f t="shared" si="5"/>
        <v>0</v>
      </c>
      <c r="T21" s="498">
        <f t="shared" si="5"/>
        <v>1.536</v>
      </c>
      <c r="U21" s="500"/>
      <c r="V21" s="465"/>
    </row>
    <row r="22" spans="1:22" x14ac:dyDescent="0.25">
      <c r="A22" s="641" t="s">
        <v>217</v>
      </c>
      <c r="B22" s="466" t="s">
        <v>73</v>
      </c>
      <c r="C22" s="501" t="s">
        <v>74</v>
      </c>
      <c r="D22" s="502" t="s">
        <v>75</v>
      </c>
      <c r="E22" s="503">
        <v>8</v>
      </c>
      <c r="F22" s="469">
        <v>2.915</v>
      </c>
      <c r="G22" s="469">
        <f t="shared" si="4"/>
        <v>6.5419999999999998</v>
      </c>
      <c r="H22" s="469">
        <v>2.06</v>
      </c>
      <c r="I22" s="469">
        <v>0</v>
      </c>
      <c r="J22" s="470">
        <v>0</v>
      </c>
      <c r="K22" s="471">
        <v>0</v>
      </c>
      <c r="L22" s="504">
        <v>4.2949999999999999</v>
      </c>
      <c r="M22" s="469">
        <v>0</v>
      </c>
      <c r="N22" s="469">
        <v>0</v>
      </c>
      <c r="O22" s="469">
        <v>0</v>
      </c>
      <c r="P22" s="469">
        <v>0</v>
      </c>
      <c r="Q22" s="469">
        <v>0</v>
      </c>
      <c r="R22" s="469">
        <v>3.7999999999999999E-2</v>
      </c>
      <c r="S22" s="469">
        <v>0</v>
      </c>
      <c r="T22" s="471">
        <v>2.2090000000000001</v>
      </c>
      <c r="U22" s="505"/>
    </row>
    <row r="23" spans="1:22" x14ac:dyDescent="0.25">
      <c r="A23" s="639"/>
      <c r="B23" s="473" t="s">
        <v>78</v>
      </c>
      <c r="C23" s="474" t="s">
        <v>79</v>
      </c>
      <c r="D23" s="475" t="s">
        <v>80</v>
      </c>
      <c r="E23" s="476">
        <v>0.15</v>
      </c>
      <c r="F23" s="477">
        <v>0.13800000000000001</v>
      </c>
      <c r="G23" s="477">
        <f t="shared" si="4"/>
        <v>0.13800000000000001</v>
      </c>
      <c r="H23" s="477">
        <v>0</v>
      </c>
      <c r="I23" s="477">
        <v>0</v>
      </c>
      <c r="J23" s="478">
        <v>0</v>
      </c>
      <c r="K23" s="479">
        <v>0</v>
      </c>
      <c r="L23" s="480">
        <v>0</v>
      </c>
      <c r="M23" s="477">
        <v>0.13800000000000001</v>
      </c>
      <c r="N23" s="477">
        <v>0</v>
      </c>
      <c r="O23" s="477">
        <v>0</v>
      </c>
      <c r="P23" s="477">
        <v>0</v>
      </c>
      <c r="Q23" s="477">
        <v>0</v>
      </c>
      <c r="R23" s="477">
        <v>0</v>
      </c>
      <c r="S23" s="477">
        <v>0</v>
      </c>
      <c r="T23" s="479">
        <v>0</v>
      </c>
      <c r="U23" s="481"/>
    </row>
    <row r="24" spans="1:22" x14ac:dyDescent="0.25">
      <c r="A24" s="639"/>
      <c r="B24" s="473" t="s">
        <v>81</v>
      </c>
      <c r="C24" s="474" t="s">
        <v>82</v>
      </c>
      <c r="D24" s="475" t="s">
        <v>83</v>
      </c>
      <c r="E24" s="476">
        <v>0.1</v>
      </c>
      <c r="F24" s="477">
        <v>4.2999999999999997E-2</v>
      </c>
      <c r="G24" s="477">
        <f t="shared" si="4"/>
        <v>4.2999999999999997E-2</v>
      </c>
      <c r="H24" s="477">
        <v>0</v>
      </c>
      <c r="I24" s="477">
        <v>0</v>
      </c>
      <c r="J24" s="478">
        <v>0</v>
      </c>
      <c r="K24" s="479">
        <v>0</v>
      </c>
      <c r="L24" s="480">
        <v>0</v>
      </c>
      <c r="M24" s="477">
        <v>0</v>
      </c>
      <c r="N24" s="477">
        <v>0</v>
      </c>
      <c r="O24" s="477">
        <v>0</v>
      </c>
      <c r="P24" s="477">
        <v>4.2999999999999997E-2</v>
      </c>
      <c r="Q24" s="477">
        <v>0</v>
      </c>
      <c r="R24" s="477">
        <v>0</v>
      </c>
      <c r="S24" s="477">
        <v>0</v>
      </c>
      <c r="T24" s="479">
        <v>0</v>
      </c>
      <c r="U24" s="481"/>
    </row>
    <row r="25" spans="1:22" x14ac:dyDescent="0.25">
      <c r="A25" s="639"/>
      <c r="B25" s="473" t="s">
        <v>70</v>
      </c>
      <c r="C25" s="474" t="s">
        <v>71</v>
      </c>
      <c r="D25" s="475" t="s">
        <v>72</v>
      </c>
      <c r="E25" s="476">
        <v>3</v>
      </c>
      <c r="F25" s="477">
        <v>1.7</v>
      </c>
      <c r="G25" s="477">
        <f t="shared" si="4"/>
        <v>4.1429999999999998</v>
      </c>
      <c r="H25" s="477">
        <v>0</v>
      </c>
      <c r="I25" s="477">
        <v>2.4340000000000002</v>
      </c>
      <c r="J25" s="478">
        <v>0</v>
      </c>
      <c r="K25" s="479">
        <v>0</v>
      </c>
      <c r="L25" s="480">
        <v>4.0030000000000001</v>
      </c>
      <c r="M25" s="477">
        <v>0.04</v>
      </c>
      <c r="N25" s="477">
        <v>0</v>
      </c>
      <c r="O25" s="477">
        <v>0.1</v>
      </c>
      <c r="P25" s="477">
        <v>0</v>
      </c>
      <c r="Q25" s="477">
        <v>0</v>
      </c>
      <c r="R25" s="477">
        <v>0</v>
      </c>
      <c r="S25" s="477">
        <v>0</v>
      </c>
      <c r="T25" s="479">
        <v>0</v>
      </c>
      <c r="U25" s="493" t="s">
        <v>384</v>
      </c>
    </row>
    <row r="26" spans="1:22" x14ac:dyDescent="0.25">
      <c r="A26" s="639"/>
      <c r="B26" s="473" t="s">
        <v>84</v>
      </c>
      <c r="C26" s="474" t="s">
        <v>85</v>
      </c>
      <c r="D26" s="475" t="s">
        <v>86</v>
      </c>
      <c r="E26" s="476">
        <v>0.15</v>
      </c>
      <c r="F26" s="477">
        <v>0.1</v>
      </c>
      <c r="G26" s="477">
        <f t="shared" si="4"/>
        <v>0.10100000000000001</v>
      </c>
      <c r="H26" s="477">
        <v>0</v>
      </c>
      <c r="I26" s="477">
        <v>0</v>
      </c>
      <c r="J26" s="478">
        <v>0</v>
      </c>
      <c r="K26" s="479">
        <v>0</v>
      </c>
      <c r="L26" s="480">
        <v>0</v>
      </c>
      <c r="M26" s="477">
        <v>0</v>
      </c>
      <c r="N26" s="477">
        <v>0</v>
      </c>
      <c r="O26" s="477">
        <v>0</v>
      </c>
      <c r="P26" s="477">
        <v>0.10100000000000001</v>
      </c>
      <c r="Q26" s="477">
        <v>0</v>
      </c>
      <c r="R26" s="477">
        <v>0</v>
      </c>
      <c r="S26" s="477">
        <v>0</v>
      </c>
      <c r="T26" s="479">
        <v>0</v>
      </c>
      <c r="U26" s="481"/>
    </row>
    <row r="27" spans="1:22" x14ac:dyDescent="0.25">
      <c r="A27" s="639"/>
      <c r="B27" s="473" t="s">
        <v>87</v>
      </c>
      <c r="C27" s="474" t="s">
        <v>88</v>
      </c>
      <c r="D27" s="475" t="s">
        <v>89</v>
      </c>
      <c r="E27" s="476">
        <v>0.33</v>
      </c>
      <c r="F27" s="477">
        <v>0.222</v>
      </c>
      <c r="G27" s="477">
        <f t="shared" si="4"/>
        <v>0.222</v>
      </c>
      <c r="H27" s="477">
        <v>0</v>
      </c>
      <c r="I27" s="477">
        <v>0</v>
      </c>
      <c r="J27" s="478">
        <v>0</v>
      </c>
      <c r="K27" s="479">
        <v>0</v>
      </c>
      <c r="L27" s="480">
        <v>0</v>
      </c>
      <c r="M27" s="477">
        <v>0.222</v>
      </c>
      <c r="N27" s="477">
        <v>0</v>
      </c>
      <c r="O27" s="477">
        <v>0</v>
      </c>
      <c r="P27" s="477">
        <v>0</v>
      </c>
      <c r="Q27" s="477">
        <v>0</v>
      </c>
      <c r="R27" s="477">
        <v>0</v>
      </c>
      <c r="S27" s="477">
        <v>0</v>
      </c>
      <c r="T27" s="479">
        <v>0</v>
      </c>
      <c r="U27" s="481"/>
    </row>
    <row r="28" spans="1:22" x14ac:dyDescent="0.25">
      <c r="A28" s="639"/>
      <c r="B28" s="473" t="s">
        <v>67</v>
      </c>
      <c r="C28" s="474" t="s">
        <v>68</v>
      </c>
      <c r="D28" s="475" t="s">
        <v>69</v>
      </c>
      <c r="E28" s="476">
        <v>4.75</v>
      </c>
      <c r="F28" s="477">
        <v>3.89</v>
      </c>
      <c r="G28" s="477">
        <f t="shared" si="4"/>
        <v>2.93</v>
      </c>
      <c r="H28" s="477">
        <v>0</v>
      </c>
      <c r="I28" s="477">
        <v>0</v>
      </c>
      <c r="J28" s="478">
        <v>0</v>
      </c>
      <c r="K28" s="479">
        <v>0</v>
      </c>
      <c r="L28" s="480">
        <v>1.6</v>
      </c>
      <c r="M28" s="477">
        <v>0.6</v>
      </c>
      <c r="N28" s="477">
        <v>0</v>
      </c>
      <c r="O28" s="477">
        <v>0</v>
      </c>
      <c r="P28" s="477">
        <v>0.73</v>
      </c>
      <c r="Q28" s="477">
        <v>0</v>
      </c>
      <c r="R28" s="477">
        <v>0</v>
      </c>
      <c r="S28" s="477">
        <v>0</v>
      </c>
      <c r="T28" s="479">
        <v>0</v>
      </c>
      <c r="U28" s="481"/>
    </row>
    <row r="29" spans="1:22" x14ac:dyDescent="0.25">
      <c r="A29" s="639"/>
      <c r="B29" s="473" t="s">
        <v>76</v>
      </c>
      <c r="C29" s="474" t="s">
        <v>77</v>
      </c>
      <c r="D29" s="475" t="s">
        <v>201</v>
      </c>
      <c r="E29" s="476">
        <v>0.75</v>
      </c>
      <c r="F29" s="477">
        <v>0.51300000000000001</v>
      </c>
      <c r="G29" s="477">
        <f t="shared" si="4"/>
        <v>0.27</v>
      </c>
      <c r="H29" s="477">
        <v>0</v>
      </c>
      <c r="I29" s="477">
        <v>0</v>
      </c>
      <c r="J29" s="478">
        <v>0.124</v>
      </c>
      <c r="K29" s="479">
        <v>0</v>
      </c>
      <c r="L29" s="480">
        <v>0.13300000000000001</v>
      </c>
      <c r="M29" s="477">
        <v>0.13400000000000001</v>
      </c>
      <c r="N29" s="477">
        <v>0</v>
      </c>
      <c r="O29" s="477">
        <v>0</v>
      </c>
      <c r="P29" s="477">
        <v>0</v>
      </c>
      <c r="Q29" s="477">
        <v>0</v>
      </c>
      <c r="R29" s="477">
        <v>3.0000000000000001E-3</v>
      </c>
      <c r="S29" s="477">
        <v>0</v>
      </c>
      <c r="T29" s="479">
        <v>0</v>
      </c>
      <c r="U29" s="481"/>
    </row>
    <row r="30" spans="1:22" x14ac:dyDescent="0.25">
      <c r="A30" s="639"/>
      <c r="B30" s="506" t="s">
        <v>11</v>
      </c>
      <c r="C30" s="507" t="s">
        <v>35</v>
      </c>
      <c r="D30" s="508" t="s">
        <v>28</v>
      </c>
      <c r="E30" s="476">
        <v>24</v>
      </c>
      <c r="F30" s="477">
        <v>19.559999999999999</v>
      </c>
      <c r="G30" s="477">
        <f t="shared" si="4"/>
        <v>21.764000000000003</v>
      </c>
      <c r="H30" s="477">
        <v>2.2000000000000002</v>
      </c>
      <c r="I30" s="477">
        <v>0</v>
      </c>
      <c r="J30" s="478">
        <v>0</v>
      </c>
      <c r="K30" s="479">
        <v>0</v>
      </c>
      <c r="L30" s="480">
        <v>4.5960000000000001</v>
      </c>
      <c r="M30" s="477">
        <v>0</v>
      </c>
      <c r="N30" s="477">
        <v>0</v>
      </c>
      <c r="O30" s="477">
        <v>0</v>
      </c>
      <c r="P30" s="477">
        <v>2.4500000000000002</v>
      </c>
      <c r="Q30" s="477">
        <v>0</v>
      </c>
      <c r="R30" s="477">
        <v>7.4</v>
      </c>
      <c r="S30" s="477">
        <v>7.3179999999999996</v>
      </c>
      <c r="T30" s="479">
        <v>0</v>
      </c>
      <c r="U30" s="481" t="s">
        <v>535</v>
      </c>
      <c r="V30" s="509"/>
    </row>
    <row r="31" spans="1:22" ht="16.5" thickBot="1" x14ac:dyDescent="0.3">
      <c r="A31" s="639"/>
      <c r="B31" s="483" t="s">
        <v>20</v>
      </c>
      <c r="C31" s="484" t="s">
        <v>36</v>
      </c>
      <c r="D31" s="485" t="s">
        <v>28</v>
      </c>
      <c r="E31" s="486">
        <v>11.25</v>
      </c>
      <c r="F31" s="487">
        <v>5.96</v>
      </c>
      <c r="G31" s="487">
        <f t="shared" si="4"/>
        <v>5.9880000000000004</v>
      </c>
      <c r="H31" s="487">
        <v>0</v>
      </c>
      <c r="I31" s="487">
        <v>0</v>
      </c>
      <c r="J31" s="488">
        <v>2.044</v>
      </c>
      <c r="K31" s="489">
        <v>0</v>
      </c>
      <c r="L31" s="490">
        <v>2.1920000000000002</v>
      </c>
      <c r="M31" s="487">
        <v>0</v>
      </c>
      <c r="N31" s="487">
        <v>0</v>
      </c>
      <c r="O31" s="487">
        <v>0</v>
      </c>
      <c r="P31" s="487">
        <v>0.73599999999999999</v>
      </c>
      <c r="Q31" s="487">
        <v>0</v>
      </c>
      <c r="R31" s="487">
        <v>0</v>
      </c>
      <c r="S31" s="487">
        <v>3.03</v>
      </c>
      <c r="T31" s="489">
        <v>0.03</v>
      </c>
      <c r="U31" s="491" t="s">
        <v>385</v>
      </c>
    </row>
    <row r="32" spans="1:22" ht="17.25" thickTop="1" thickBot="1" x14ac:dyDescent="0.3">
      <c r="A32" s="642"/>
      <c r="B32" s="630" t="s">
        <v>361</v>
      </c>
      <c r="C32" s="631"/>
      <c r="D32" s="632"/>
      <c r="E32" s="510">
        <f>SUM(E22:E31)</f>
        <v>52.480000000000004</v>
      </c>
      <c r="F32" s="511">
        <f t="shared" ref="F32:T32" si="6">SUM(F22:F31)</f>
        <v>35.040999999999997</v>
      </c>
      <c r="G32" s="511">
        <f t="shared" si="6"/>
        <v>42.141000000000005</v>
      </c>
      <c r="H32" s="511">
        <f t="shared" si="6"/>
        <v>4.26</v>
      </c>
      <c r="I32" s="511">
        <f t="shared" si="6"/>
        <v>2.4340000000000002</v>
      </c>
      <c r="J32" s="512">
        <f t="shared" si="6"/>
        <v>2.1680000000000001</v>
      </c>
      <c r="K32" s="513">
        <f t="shared" si="6"/>
        <v>0</v>
      </c>
      <c r="L32" s="510">
        <f t="shared" si="6"/>
        <v>16.818999999999999</v>
      </c>
      <c r="M32" s="511">
        <f t="shared" si="6"/>
        <v>1.1339999999999999</v>
      </c>
      <c r="N32" s="511">
        <f t="shared" si="6"/>
        <v>0</v>
      </c>
      <c r="O32" s="511">
        <f t="shared" si="6"/>
        <v>0.1</v>
      </c>
      <c r="P32" s="511">
        <f t="shared" si="6"/>
        <v>4.0600000000000005</v>
      </c>
      <c r="Q32" s="511">
        <f t="shared" si="6"/>
        <v>0</v>
      </c>
      <c r="R32" s="511">
        <f t="shared" si="6"/>
        <v>7.4410000000000007</v>
      </c>
      <c r="S32" s="511">
        <f t="shared" si="6"/>
        <v>10.347999999999999</v>
      </c>
      <c r="T32" s="513">
        <f t="shared" si="6"/>
        <v>2.2389999999999999</v>
      </c>
      <c r="U32" s="514"/>
    </row>
    <row r="33" spans="1:22" ht="16.5" thickBot="1" x14ac:dyDescent="0.3">
      <c r="A33" s="655" t="s">
        <v>378</v>
      </c>
      <c r="B33" s="656"/>
      <c r="C33" s="656"/>
      <c r="D33" s="657"/>
      <c r="E33" s="515">
        <f>E21+E32</f>
        <v>237.88</v>
      </c>
      <c r="F33" s="516">
        <f t="shared" ref="F33:T33" si="7">F21+F32</f>
        <v>89.86099999999999</v>
      </c>
      <c r="G33" s="516">
        <f t="shared" si="7"/>
        <v>105.819</v>
      </c>
      <c r="H33" s="516">
        <f t="shared" si="7"/>
        <v>8.2199999999999989</v>
      </c>
      <c r="I33" s="516">
        <f t="shared" si="7"/>
        <v>28.102</v>
      </c>
      <c r="J33" s="517">
        <f t="shared" si="7"/>
        <v>27.837</v>
      </c>
      <c r="K33" s="518">
        <f t="shared" si="7"/>
        <v>0</v>
      </c>
      <c r="L33" s="515">
        <f t="shared" si="7"/>
        <v>54.585999999999999</v>
      </c>
      <c r="M33" s="516">
        <f t="shared" si="7"/>
        <v>6.3339999999999996</v>
      </c>
      <c r="N33" s="516">
        <f t="shared" si="7"/>
        <v>0</v>
      </c>
      <c r="O33" s="516">
        <f t="shared" si="7"/>
        <v>0.40500000000000003</v>
      </c>
      <c r="P33" s="516">
        <f t="shared" si="7"/>
        <v>18.893999999999998</v>
      </c>
      <c r="Q33" s="516">
        <f t="shared" si="7"/>
        <v>0</v>
      </c>
      <c r="R33" s="516">
        <f t="shared" si="7"/>
        <v>11.477</v>
      </c>
      <c r="S33" s="516">
        <f t="shared" si="7"/>
        <v>10.347999999999999</v>
      </c>
      <c r="T33" s="518">
        <f t="shared" si="7"/>
        <v>3.7749999999999999</v>
      </c>
      <c r="U33" s="519"/>
    </row>
    <row r="34" spans="1:22" x14ac:dyDescent="0.25">
      <c r="A34" s="633" t="s">
        <v>219</v>
      </c>
      <c r="B34" s="520" t="s">
        <v>305</v>
      </c>
      <c r="C34" s="521" t="s">
        <v>315</v>
      </c>
      <c r="D34" s="522" t="s">
        <v>315</v>
      </c>
      <c r="E34" s="523">
        <v>0.3</v>
      </c>
      <c r="F34" s="524">
        <v>0.15</v>
      </c>
      <c r="G34" s="524">
        <f>L34+M34+N34+O34+P34+Q34+R34+S34+T34</f>
        <v>0.15</v>
      </c>
      <c r="H34" s="524">
        <v>0</v>
      </c>
      <c r="I34" s="524">
        <v>0</v>
      </c>
      <c r="J34" s="525">
        <v>0</v>
      </c>
      <c r="K34" s="526">
        <v>0</v>
      </c>
      <c r="L34" s="527">
        <f>0.05+0.01</f>
        <v>6.0000000000000005E-2</v>
      </c>
      <c r="M34" s="524">
        <v>0.09</v>
      </c>
      <c r="N34" s="524">
        <v>0</v>
      </c>
      <c r="O34" s="524">
        <v>0</v>
      </c>
      <c r="P34" s="524">
        <v>0</v>
      </c>
      <c r="Q34" s="524">
        <v>0</v>
      </c>
      <c r="R34" s="524">
        <v>0</v>
      </c>
      <c r="S34" s="524">
        <v>0</v>
      </c>
      <c r="T34" s="526">
        <v>0</v>
      </c>
      <c r="U34" s="528" t="s">
        <v>536</v>
      </c>
      <c r="V34" s="465"/>
    </row>
    <row r="35" spans="1:22" ht="15.75" customHeight="1" x14ac:dyDescent="0.25">
      <c r="A35" s="634"/>
      <c r="B35" s="529" t="s">
        <v>14</v>
      </c>
      <c r="C35" s="467" t="s">
        <v>39</v>
      </c>
      <c r="D35" s="530" t="s">
        <v>27</v>
      </c>
      <c r="E35" s="503">
        <v>13</v>
      </c>
      <c r="F35" s="469">
        <v>11.615</v>
      </c>
      <c r="G35" s="469">
        <f>L35+M35+N35+O35+P35+Q35+R35+S35+T35</f>
        <v>16.407</v>
      </c>
      <c r="H35" s="531">
        <v>0</v>
      </c>
      <c r="I35" s="531">
        <f>3.528+1.264</f>
        <v>4.7919999999999998</v>
      </c>
      <c r="J35" s="532">
        <v>0</v>
      </c>
      <c r="K35" s="471">
        <v>0</v>
      </c>
      <c r="L35" s="533">
        <f>1.902+2.231</f>
        <v>4.133</v>
      </c>
      <c r="M35" s="531">
        <v>3.2679999999999998</v>
      </c>
      <c r="N35" s="469">
        <v>0</v>
      </c>
      <c r="O35" s="531">
        <v>0.51600000000000001</v>
      </c>
      <c r="P35" s="531">
        <v>6.0110000000000001</v>
      </c>
      <c r="Q35" s="469">
        <v>0</v>
      </c>
      <c r="R35" s="531">
        <v>2.4790000000000001</v>
      </c>
      <c r="S35" s="469">
        <v>0</v>
      </c>
      <c r="T35" s="471">
        <v>0</v>
      </c>
      <c r="U35" s="534" t="s">
        <v>386</v>
      </c>
      <c r="V35" s="465"/>
    </row>
    <row r="36" spans="1:22" x14ac:dyDescent="0.25">
      <c r="A36" s="634"/>
      <c r="B36" s="482" t="s">
        <v>24</v>
      </c>
      <c r="C36" s="492" t="s">
        <v>42</v>
      </c>
      <c r="D36" s="535" t="s">
        <v>27</v>
      </c>
      <c r="E36" s="476">
        <v>5</v>
      </c>
      <c r="F36" s="477">
        <v>3.528</v>
      </c>
      <c r="G36" s="536">
        <v>0</v>
      </c>
      <c r="H36" s="477">
        <v>0</v>
      </c>
      <c r="I36" s="477">
        <v>0</v>
      </c>
      <c r="J36" s="537">
        <v>3.528</v>
      </c>
      <c r="K36" s="479">
        <v>0</v>
      </c>
      <c r="L36" s="538">
        <v>0</v>
      </c>
      <c r="M36" s="536">
        <v>0</v>
      </c>
      <c r="N36" s="536">
        <v>0</v>
      </c>
      <c r="O36" s="536">
        <v>0</v>
      </c>
      <c r="P36" s="536">
        <v>0</v>
      </c>
      <c r="Q36" s="536">
        <v>0</v>
      </c>
      <c r="R36" s="536">
        <v>0</v>
      </c>
      <c r="S36" s="536">
        <v>0</v>
      </c>
      <c r="T36" s="539">
        <v>0</v>
      </c>
      <c r="U36" s="534" t="s">
        <v>537</v>
      </c>
      <c r="V36" s="465"/>
    </row>
    <row r="37" spans="1:22" ht="31.5" x14ac:dyDescent="0.25">
      <c r="A37" s="634"/>
      <c r="B37" s="482" t="s">
        <v>21</v>
      </c>
      <c r="C37" s="492" t="s">
        <v>342</v>
      </c>
      <c r="D37" s="535" t="s">
        <v>335</v>
      </c>
      <c r="E37" s="476">
        <v>7.6</v>
      </c>
      <c r="F37" s="477">
        <v>4.0389999999999997</v>
      </c>
      <c r="G37" s="477">
        <f>L37+M37+N37+O37+P37+Q37+R37+S37+T37</f>
        <v>4.0270000000000001</v>
      </c>
      <c r="H37" s="477">
        <v>0</v>
      </c>
      <c r="I37" s="477">
        <v>0</v>
      </c>
      <c r="J37" s="478">
        <v>0</v>
      </c>
      <c r="K37" s="479">
        <v>0.27400000000000002</v>
      </c>
      <c r="L37" s="480">
        <v>3.722</v>
      </c>
      <c r="M37" s="477">
        <v>0.30499999999999999</v>
      </c>
      <c r="N37" s="477">
        <v>0</v>
      </c>
      <c r="O37" s="477">
        <v>0</v>
      </c>
      <c r="P37" s="477">
        <v>0</v>
      </c>
      <c r="Q37" s="477">
        <v>0</v>
      </c>
      <c r="R37" s="477">
        <v>0</v>
      </c>
      <c r="S37" s="477">
        <v>0</v>
      </c>
      <c r="T37" s="479">
        <v>0</v>
      </c>
      <c r="U37" s="534" t="s">
        <v>356</v>
      </c>
      <c r="V37" s="465"/>
    </row>
    <row r="38" spans="1:22" x14ac:dyDescent="0.25">
      <c r="A38" s="634"/>
      <c r="B38" s="482" t="s">
        <v>13</v>
      </c>
      <c r="C38" s="492" t="s">
        <v>44</v>
      </c>
      <c r="D38" s="535" t="s">
        <v>27</v>
      </c>
      <c r="E38" s="476">
        <v>0.499</v>
      </c>
      <c r="F38" s="477">
        <v>0.222</v>
      </c>
      <c r="G38" s="477">
        <f>L38+M38+N38+O38+P38+Q38+R38+S38+T38</f>
        <v>0.59299999999999997</v>
      </c>
      <c r="H38" s="477">
        <v>0.371</v>
      </c>
      <c r="I38" s="477">
        <v>0</v>
      </c>
      <c r="J38" s="478">
        <v>0</v>
      </c>
      <c r="K38" s="479">
        <v>0</v>
      </c>
      <c r="L38" s="480">
        <v>0.58799999999999997</v>
      </c>
      <c r="M38" s="477">
        <v>0</v>
      </c>
      <c r="N38" s="477">
        <v>0</v>
      </c>
      <c r="O38" s="477">
        <v>0</v>
      </c>
      <c r="P38" s="477">
        <v>5.0000000000000001E-3</v>
      </c>
      <c r="Q38" s="477">
        <v>0</v>
      </c>
      <c r="R38" s="477">
        <v>0</v>
      </c>
      <c r="S38" s="477">
        <v>0</v>
      </c>
      <c r="T38" s="479">
        <v>0</v>
      </c>
      <c r="U38" s="534" t="s">
        <v>538</v>
      </c>
      <c r="V38" s="465"/>
    </row>
    <row r="39" spans="1:22" x14ac:dyDescent="0.25">
      <c r="A39" s="634"/>
      <c r="B39" s="482" t="s">
        <v>18</v>
      </c>
      <c r="C39" s="492" t="s">
        <v>41</v>
      </c>
      <c r="D39" s="535" t="s">
        <v>27</v>
      </c>
      <c r="E39" s="476">
        <v>1.5</v>
      </c>
      <c r="F39" s="477">
        <v>1.028</v>
      </c>
      <c r="G39" s="477">
        <f>L39+M39+N39+O39+P39+Q39+R39+S39+T39</f>
        <v>1.03</v>
      </c>
      <c r="H39" s="477">
        <v>2E-3</v>
      </c>
      <c r="I39" s="477">
        <v>0</v>
      </c>
      <c r="J39" s="478">
        <v>0</v>
      </c>
      <c r="K39" s="479">
        <v>0</v>
      </c>
      <c r="L39" s="480">
        <f>0.34+0.028</f>
        <v>0.36800000000000005</v>
      </c>
      <c r="M39" s="477">
        <v>0.182</v>
      </c>
      <c r="N39" s="477">
        <v>0</v>
      </c>
      <c r="O39" s="477">
        <v>0</v>
      </c>
      <c r="P39" s="477">
        <v>0.48</v>
      </c>
      <c r="Q39" s="477">
        <v>0</v>
      </c>
      <c r="R39" s="477">
        <v>0</v>
      </c>
      <c r="S39" s="477">
        <v>0</v>
      </c>
      <c r="T39" s="479">
        <v>0</v>
      </c>
      <c r="U39" s="534" t="s">
        <v>538</v>
      </c>
      <c r="V39" s="465"/>
    </row>
    <row r="40" spans="1:22" x14ac:dyDescent="0.25">
      <c r="A40" s="634"/>
      <c r="B40" s="482" t="s">
        <v>10</v>
      </c>
      <c r="C40" s="492" t="s">
        <v>40</v>
      </c>
      <c r="D40" s="535" t="s">
        <v>27</v>
      </c>
      <c r="E40" s="476">
        <v>6</v>
      </c>
      <c r="F40" s="477">
        <v>4.1139999999999999</v>
      </c>
      <c r="G40" s="477">
        <f>L40+M40+N40+O40+P40+Q40+R40+S40+T40</f>
        <v>4.633</v>
      </c>
      <c r="H40" s="477">
        <v>0.51900000000000002</v>
      </c>
      <c r="I40" s="477">
        <v>0</v>
      </c>
      <c r="J40" s="478">
        <v>0</v>
      </c>
      <c r="K40" s="479">
        <v>0</v>
      </c>
      <c r="L40" s="480">
        <f>3.377+0.032</f>
        <v>3.4089999999999998</v>
      </c>
      <c r="M40" s="477">
        <v>0.254</v>
      </c>
      <c r="N40" s="477">
        <v>0</v>
      </c>
      <c r="O40" s="477">
        <v>0</v>
      </c>
      <c r="P40" s="477">
        <v>0.97</v>
      </c>
      <c r="Q40" s="477">
        <v>0</v>
      </c>
      <c r="R40" s="477">
        <v>0</v>
      </c>
      <c r="S40" s="477">
        <v>0</v>
      </c>
      <c r="T40" s="479">
        <v>0</v>
      </c>
      <c r="U40" s="534" t="s">
        <v>538</v>
      </c>
      <c r="V40" s="465"/>
    </row>
    <row r="41" spans="1:22" ht="63" customHeight="1" x14ac:dyDescent="0.25">
      <c r="A41" s="634"/>
      <c r="B41" s="540" t="s">
        <v>331</v>
      </c>
      <c r="C41" s="492" t="s">
        <v>343</v>
      </c>
      <c r="D41" s="535" t="s">
        <v>27</v>
      </c>
      <c r="E41" s="476">
        <v>0</v>
      </c>
      <c r="F41" s="477">
        <v>0</v>
      </c>
      <c r="G41" s="477">
        <f>L41+M41+N41+O41+P41+Q41+R41+S41+T41</f>
        <v>2.0034999999999998</v>
      </c>
      <c r="H41" s="541">
        <v>0</v>
      </c>
      <c r="I41" s="541">
        <f>(2.797+1.665+0.809)*0.5</f>
        <v>2.6355</v>
      </c>
      <c r="J41" s="537">
        <v>1.264</v>
      </c>
      <c r="K41" s="479">
        <v>0</v>
      </c>
      <c r="L41" s="542">
        <f>(3.363+0.023)*0.5</f>
        <v>1.6930000000000001</v>
      </c>
      <c r="M41" s="541">
        <f>0.5*0.163</f>
        <v>8.1500000000000003E-2</v>
      </c>
      <c r="N41" s="477">
        <v>0</v>
      </c>
      <c r="O41" s="541">
        <v>0</v>
      </c>
      <c r="P41" s="541">
        <f>0.458*0.5</f>
        <v>0.22900000000000001</v>
      </c>
      <c r="Q41" s="477">
        <v>0</v>
      </c>
      <c r="R41" s="477">
        <v>0</v>
      </c>
      <c r="S41" s="477">
        <v>0</v>
      </c>
      <c r="T41" s="479">
        <v>0</v>
      </c>
      <c r="U41" s="534" t="s">
        <v>387</v>
      </c>
      <c r="V41" s="465"/>
    </row>
    <row r="42" spans="1:22" ht="16.5" thickBot="1" x14ac:dyDescent="0.3">
      <c r="A42" s="634"/>
      <c r="B42" s="483" t="s">
        <v>7</v>
      </c>
      <c r="C42" s="495" t="s">
        <v>43</v>
      </c>
      <c r="D42" s="543" t="s">
        <v>27</v>
      </c>
      <c r="E42" s="486">
        <v>3</v>
      </c>
      <c r="F42" s="487">
        <v>2.7970000000000002</v>
      </c>
      <c r="G42" s="453">
        <v>0</v>
      </c>
      <c r="H42" s="544">
        <v>0</v>
      </c>
      <c r="I42" s="453">
        <v>0</v>
      </c>
      <c r="J42" s="488">
        <v>2.7970000000000002</v>
      </c>
      <c r="K42" s="455">
        <v>0</v>
      </c>
      <c r="L42" s="452">
        <v>0</v>
      </c>
      <c r="M42" s="453">
        <v>0</v>
      </c>
      <c r="N42" s="453">
        <v>0</v>
      </c>
      <c r="O42" s="453">
        <v>0</v>
      </c>
      <c r="P42" s="453">
        <v>0</v>
      </c>
      <c r="Q42" s="453">
        <v>0</v>
      </c>
      <c r="R42" s="453">
        <v>0</v>
      </c>
      <c r="S42" s="453">
        <v>0</v>
      </c>
      <c r="T42" s="455">
        <v>0</v>
      </c>
      <c r="U42" s="545" t="s">
        <v>388</v>
      </c>
      <c r="V42" s="465"/>
    </row>
    <row r="43" spans="1:22" ht="17.25" thickTop="1" thickBot="1" x14ac:dyDescent="0.3">
      <c r="A43" s="635"/>
      <c r="B43" s="630" t="s">
        <v>362</v>
      </c>
      <c r="C43" s="631"/>
      <c r="D43" s="632"/>
      <c r="E43" s="457">
        <f>SUM(E34:E42)</f>
        <v>36.899000000000001</v>
      </c>
      <c r="F43" s="458">
        <f t="shared" ref="F43:T43" si="8">SUM(F34:F42)</f>
        <v>27.493000000000002</v>
      </c>
      <c r="G43" s="458">
        <f t="shared" si="8"/>
        <v>28.843499999999999</v>
      </c>
      <c r="H43" s="458">
        <f t="shared" si="8"/>
        <v>0.89200000000000002</v>
      </c>
      <c r="I43" s="458">
        <f t="shared" si="8"/>
        <v>7.4275000000000002</v>
      </c>
      <c r="J43" s="459">
        <f t="shared" si="8"/>
        <v>7.5890000000000004</v>
      </c>
      <c r="K43" s="460">
        <f t="shared" si="8"/>
        <v>0.27400000000000002</v>
      </c>
      <c r="L43" s="457">
        <f t="shared" si="8"/>
        <v>13.972999999999997</v>
      </c>
      <c r="M43" s="458">
        <f t="shared" si="8"/>
        <v>4.1805000000000003</v>
      </c>
      <c r="N43" s="458">
        <f t="shared" si="8"/>
        <v>0</v>
      </c>
      <c r="O43" s="458">
        <f t="shared" si="8"/>
        <v>0.51600000000000001</v>
      </c>
      <c r="P43" s="458">
        <f t="shared" si="8"/>
        <v>7.6950000000000003</v>
      </c>
      <c r="Q43" s="458">
        <f t="shared" si="8"/>
        <v>0</v>
      </c>
      <c r="R43" s="458">
        <f t="shared" si="8"/>
        <v>2.4790000000000001</v>
      </c>
      <c r="S43" s="458">
        <f t="shared" si="8"/>
        <v>0</v>
      </c>
      <c r="T43" s="463">
        <f t="shared" si="8"/>
        <v>0</v>
      </c>
      <c r="U43" s="546"/>
    </row>
    <row r="44" spans="1:22" x14ac:dyDescent="0.25">
      <c r="A44" s="633" t="s">
        <v>221</v>
      </c>
      <c r="B44" s="520" t="s">
        <v>16</v>
      </c>
      <c r="C44" s="521" t="s">
        <v>17</v>
      </c>
      <c r="D44" s="547" t="s">
        <v>33</v>
      </c>
      <c r="E44" s="523">
        <v>0.5</v>
      </c>
      <c r="F44" s="524">
        <v>0.23300000000000001</v>
      </c>
      <c r="G44" s="524">
        <f>L44+M44+N44+O44+P44+Q44+R44+S44+T44</f>
        <v>0</v>
      </c>
      <c r="H44" s="524">
        <v>0</v>
      </c>
      <c r="I44" s="524">
        <v>0</v>
      </c>
      <c r="J44" s="525">
        <v>0</v>
      </c>
      <c r="K44" s="526">
        <v>0.23300000000000001</v>
      </c>
      <c r="L44" s="527">
        <v>0</v>
      </c>
      <c r="M44" s="524">
        <v>0</v>
      </c>
      <c r="N44" s="524">
        <v>0</v>
      </c>
      <c r="O44" s="524">
        <v>0</v>
      </c>
      <c r="P44" s="524">
        <v>0</v>
      </c>
      <c r="Q44" s="524">
        <v>0</v>
      </c>
      <c r="R44" s="524">
        <v>0</v>
      </c>
      <c r="S44" s="524">
        <v>0</v>
      </c>
      <c r="T44" s="526">
        <v>0</v>
      </c>
      <c r="U44" s="528" t="s">
        <v>341</v>
      </c>
      <c r="V44" s="465"/>
    </row>
    <row r="45" spans="1:22" x14ac:dyDescent="0.25">
      <c r="A45" s="634"/>
      <c r="B45" s="482" t="s">
        <v>9</v>
      </c>
      <c r="C45" s="492" t="s">
        <v>206</v>
      </c>
      <c r="D45" s="475" t="s">
        <v>32</v>
      </c>
      <c r="E45" s="476">
        <v>0.25</v>
      </c>
      <c r="F45" s="477">
        <v>9.5399999999999999E-2</v>
      </c>
      <c r="G45" s="477">
        <f>L45+M45+N45+O45+P45+Q45+R45+S45+T45</f>
        <v>9.5399999999999999E-2</v>
      </c>
      <c r="H45" s="477">
        <v>0</v>
      </c>
      <c r="I45" s="477">
        <v>0</v>
      </c>
      <c r="J45" s="478">
        <v>0</v>
      </c>
      <c r="K45" s="479">
        <v>0</v>
      </c>
      <c r="L45" s="480">
        <v>0</v>
      </c>
      <c r="M45" s="477">
        <v>0</v>
      </c>
      <c r="N45" s="477">
        <v>0</v>
      </c>
      <c r="O45" s="477">
        <v>9.5399999999999999E-2</v>
      </c>
      <c r="P45" s="477">
        <v>0</v>
      </c>
      <c r="Q45" s="477">
        <v>0</v>
      </c>
      <c r="R45" s="477">
        <v>0</v>
      </c>
      <c r="S45" s="477">
        <v>0</v>
      </c>
      <c r="T45" s="479">
        <v>0</v>
      </c>
      <c r="U45" s="534"/>
      <c r="V45" s="465"/>
    </row>
    <row r="46" spans="1:22" x14ac:dyDescent="0.25">
      <c r="A46" s="634"/>
      <c r="B46" s="540"/>
      <c r="C46" s="492" t="s">
        <v>344</v>
      </c>
      <c r="D46" s="475" t="s">
        <v>27</v>
      </c>
      <c r="E46" s="476">
        <v>0</v>
      </c>
      <c r="F46" s="477">
        <v>0</v>
      </c>
      <c r="G46" s="477">
        <f>L46+M46+N46+O46+P46+Q46+R46+S46+T46</f>
        <v>2.0034999999999998</v>
      </c>
      <c r="H46" s="541">
        <v>0</v>
      </c>
      <c r="I46" s="541">
        <f>(2.797+1.665+0.809)*0.5</f>
        <v>2.6355</v>
      </c>
      <c r="J46" s="478">
        <v>0</v>
      </c>
      <c r="K46" s="479">
        <v>0</v>
      </c>
      <c r="L46" s="542">
        <f>(3.363+0.023)*0.5</f>
        <v>1.6930000000000001</v>
      </c>
      <c r="M46" s="541">
        <f>0.5*0.163</f>
        <v>8.1500000000000003E-2</v>
      </c>
      <c r="N46" s="477">
        <v>0</v>
      </c>
      <c r="O46" s="541">
        <v>0</v>
      </c>
      <c r="P46" s="541">
        <f>0.458*0.5</f>
        <v>0.22900000000000001</v>
      </c>
      <c r="Q46" s="477">
        <v>0</v>
      </c>
      <c r="R46" s="477">
        <v>0</v>
      </c>
      <c r="S46" s="477">
        <v>0</v>
      </c>
      <c r="T46" s="479">
        <v>0</v>
      </c>
      <c r="U46" s="534" t="s">
        <v>539</v>
      </c>
      <c r="V46" s="465"/>
    </row>
    <row r="47" spans="1:22" x14ac:dyDescent="0.25">
      <c r="A47" s="634"/>
      <c r="B47" s="482" t="s">
        <v>8</v>
      </c>
      <c r="C47" s="492" t="s">
        <v>45</v>
      </c>
      <c r="D47" s="475" t="s">
        <v>27</v>
      </c>
      <c r="E47" s="476">
        <v>1.5</v>
      </c>
      <c r="F47" s="477">
        <v>1.665</v>
      </c>
      <c r="G47" s="536">
        <v>0</v>
      </c>
      <c r="H47" s="541">
        <v>0</v>
      </c>
      <c r="I47" s="536">
        <v>0</v>
      </c>
      <c r="J47" s="478">
        <v>1.665</v>
      </c>
      <c r="K47" s="539">
        <v>0</v>
      </c>
      <c r="L47" s="538">
        <v>0</v>
      </c>
      <c r="M47" s="536">
        <v>0</v>
      </c>
      <c r="N47" s="536">
        <v>0</v>
      </c>
      <c r="O47" s="536">
        <v>0</v>
      </c>
      <c r="P47" s="536">
        <v>0</v>
      </c>
      <c r="Q47" s="536">
        <v>0</v>
      </c>
      <c r="R47" s="536">
        <v>0</v>
      </c>
      <c r="S47" s="536">
        <v>0</v>
      </c>
      <c r="T47" s="539">
        <v>0</v>
      </c>
      <c r="U47" s="534" t="s">
        <v>388</v>
      </c>
      <c r="V47" s="465"/>
    </row>
    <row r="48" spans="1:22" ht="16.5" thickBot="1" x14ac:dyDescent="0.3">
      <c r="A48" s="634"/>
      <c r="B48" s="483" t="s">
        <v>6</v>
      </c>
      <c r="C48" s="495" t="s">
        <v>38</v>
      </c>
      <c r="D48" s="485" t="s">
        <v>27</v>
      </c>
      <c r="E48" s="486">
        <v>0.85</v>
      </c>
      <c r="F48" s="487">
        <v>0.80900000000000005</v>
      </c>
      <c r="G48" s="453">
        <v>0</v>
      </c>
      <c r="H48" s="544">
        <v>0</v>
      </c>
      <c r="I48" s="453">
        <v>0</v>
      </c>
      <c r="J48" s="488">
        <v>0.80900000000000005</v>
      </c>
      <c r="K48" s="455">
        <v>0</v>
      </c>
      <c r="L48" s="452">
        <v>0</v>
      </c>
      <c r="M48" s="453">
        <v>0</v>
      </c>
      <c r="N48" s="453">
        <v>0</v>
      </c>
      <c r="O48" s="453">
        <v>0</v>
      </c>
      <c r="P48" s="453">
        <v>0</v>
      </c>
      <c r="Q48" s="453">
        <v>0</v>
      </c>
      <c r="R48" s="453">
        <v>0</v>
      </c>
      <c r="S48" s="453">
        <v>0</v>
      </c>
      <c r="T48" s="455">
        <v>0</v>
      </c>
      <c r="U48" s="545" t="s">
        <v>388</v>
      </c>
      <c r="V48" s="465"/>
    </row>
    <row r="49" spans="1:22" ht="17.25" thickTop="1" thickBot="1" x14ac:dyDescent="0.3">
      <c r="A49" s="635"/>
      <c r="B49" s="630" t="s">
        <v>363</v>
      </c>
      <c r="C49" s="631"/>
      <c r="D49" s="632"/>
      <c r="E49" s="457">
        <f>SUM(E44:E48)</f>
        <v>3.1</v>
      </c>
      <c r="F49" s="496">
        <f t="shared" ref="F49:T49" si="9">SUM(F44:F48)</f>
        <v>2.8024</v>
      </c>
      <c r="G49" s="461">
        <f t="shared" si="9"/>
        <v>2.0989</v>
      </c>
      <c r="H49" s="548">
        <f t="shared" si="9"/>
        <v>0</v>
      </c>
      <c r="I49" s="461">
        <f t="shared" si="9"/>
        <v>2.6355</v>
      </c>
      <c r="J49" s="497">
        <f t="shared" si="9"/>
        <v>2.4740000000000002</v>
      </c>
      <c r="K49" s="549">
        <f t="shared" si="9"/>
        <v>0.23300000000000001</v>
      </c>
      <c r="L49" s="550">
        <f t="shared" si="9"/>
        <v>1.6930000000000001</v>
      </c>
      <c r="M49" s="461">
        <f t="shared" si="9"/>
        <v>8.1500000000000003E-2</v>
      </c>
      <c r="N49" s="461">
        <f t="shared" si="9"/>
        <v>0</v>
      </c>
      <c r="O49" s="461">
        <f t="shared" si="9"/>
        <v>9.5399999999999999E-2</v>
      </c>
      <c r="P49" s="461">
        <f t="shared" si="9"/>
        <v>0.22900000000000001</v>
      </c>
      <c r="Q49" s="461">
        <f t="shared" si="9"/>
        <v>0</v>
      </c>
      <c r="R49" s="461">
        <f t="shared" si="9"/>
        <v>0</v>
      </c>
      <c r="S49" s="461">
        <f t="shared" si="9"/>
        <v>0</v>
      </c>
      <c r="T49" s="549">
        <f t="shared" si="9"/>
        <v>0</v>
      </c>
      <c r="U49" s="551"/>
      <c r="V49" s="465"/>
    </row>
    <row r="50" spans="1:22" x14ac:dyDescent="0.25">
      <c r="A50" s="633" t="s">
        <v>220</v>
      </c>
      <c r="B50" s="552" t="s">
        <v>178</v>
      </c>
      <c r="C50" s="553" t="s">
        <v>238</v>
      </c>
      <c r="D50" s="554" t="s">
        <v>125</v>
      </c>
      <c r="E50" s="523">
        <v>2.67</v>
      </c>
      <c r="F50" s="555">
        <v>1.77</v>
      </c>
      <c r="G50" s="555">
        <f t="shared" ref="G50:G72" si="10">L50+M50+N50+O50+P50+Q50+R50+S50+T50</f>
        <v>1.5</v>
      </c>
      <c r="H50" s="555">
        <v>0</v>
      </c>
      <c r="I50" s="555">
        <v>0</v>
      </c>
      <c r="J50" s="556">
        <v>0.27</v>
      </c>
      <c r="K50" s="557">
        <v>0</v>
      </c>
      <c r="L50" s="527">
        <v>0.19</v>
      </c>
      <c r="M50" s="524">
        <v>0</v>
      </c>
      <c r="N50" s="524">
        <v>0</v>
      </c>
      <c r="O50" s="524">
        <v>0.81</v>
      </c>
      <c r="P50" s="524">
        <v>0</v>
      </c>
      <c r="Q50" s="524">
        <v>0</v>
      </c>
      <c r="R50" s="524">
        <v>0</v>
      </c>
      <c r="S50" s="524">
        <v>0.5</v>
      </c>
      <c r="T50" s="526">
        <v>0</v>
      </c>
      <c r="U50" s="505" t="s">
        <v>389</v>
      </c>
    </row>
    <row r="51" spans="1:22" x14ac:dyDescent="0.25">
      <c r="A51" s="634"/>
      <c r="B51" s="558" t="s">
        <v>124</v>
      </c>
      <c r="C51" s="559" t="s">
        <v>237</v>
      </c>
      <c r="D51" s="560" t="s">
        <v>125</v>
      </c>
      <c r="E51" s="476">
        <v>1.4</v>
      </c>
      <c r="F51" s="561">
        <v>0.66</v>
      </c>
      <c r="G51" s="561">
        <f t="shared" si="10"/>
        <v>1.28</v>
      </c>
      <c r="H51" s="561">
        <v>0.45</v>
      </c>
      <c r="I51" s="561">
        <v>0.27</v>
      </c>
      <c r="J51" s="562">
        <v>0</v>
      </c>
      <c r="K51" s="563">
        <v>0</v>
      </c>
      <c r="L51" s="480">
        <v>0</v>
      </c>
      <c r="M51" s="477">
        <v>0</v>
      </c>
      <c r="N51" s="477">
        <v>0</v>
      </c>
      <c r="O51" s="477">
        <v>0.5</v>
      </c>
      <c r="P51" s="477">
        <v>0</v>
      </c>
      <c r="Q51" s="477">
        <v>0</v>
      </c>
      <c r="R51" s="477">
        <v>0.78</v>
      </c>
      <c r="S51" s="477">
        <v>0</v>
      </c>
      <c r="T51" s="479">
        <v>0</v>
      </c>
      <c r="U51" s="481" t="s">
        <v>389</v>
      </c>
    </row>
    <row r="52" spans="1:22" x14ac:dyDescent="0.25">
      <c r="A52" s="634"/>
      <c r="B52" s="558" t="s">
        <v>144</v>
      </c>
      <c r="C52" s="559" t="s">
        <v>145</v>
      </c>
      <c r="D52" s="560" t="s">
        <v>146</v>
      </c>
      <c r="E52" s="476">
        <v>4</v>
      </c>
      <c r="F52" s="561">
        <v>2.2599999999999998</v>
      </c>
      <c r="G52" s="561">
        <f t="shared" si="10"/>
        <v>2.2599999999999998</v>
      </c>
      <c r="H52" s="561">
        <v>0</v>
      </c>
      <c r="I52" s="561">
        <v>0</v>
      </c>
      <c r="J52" s="561">
        <v>0</v>
      </c>
      <c r="K52" s="563">
        <v>0</v>
      </c>
      <c r="L52" s="480">
        <v>0</v>
      </c>
      <c r="M52" s="477">
        <v>0</v>
      </c>
      <c r="N52" s="477">
        <v>0</v>
      </c>
      <c r="O52" s="477">
        <v>0</v>
      </c>
      <c r="P52" s="477">
        <v>0</v>
      </c>
      <c r="Q52" s="477">
        <v>0</v>
      </c>
      <c r="R52" s="477">
        <v>2.2599999999999998</v>
      </c>
      <c r="S52" s="477">
        <v>0</v>
      </c>
      <c r="T52" s="479">
        <v>0</v>
      </c>
      <c r="U52" s="481"/>
    </row>
    <row r="53" spans="1:22" x14ac:dyDescent="0.25">
      <c r="A53" s="634"/>
      <c r="B53" s="558" t="s">
        <v>161</v>
      </c>
      <c r="C53" s="559" t="s">
        <v>162</v>
      </c>
      <c r="D53" s="560" t="s">
        <v>163</v>
      </c>
      <c r="E53" s="476">
        <v>7.4999999999999997E-2</v>
      </c>
      <c r="F53" s="561">
        <v>0.02</v>
      </c>
      <c r="G53" s="561">
        <f t="shared" si="10"/>
        <v>0.02</v>
      </c>
      <c r="H53" s="561">
        <v>0</v>
      </c>
      <c r="I53" s="561">
        <v>0</v>
      </c>
      <c r="J53" s="561">
        <v>0</v>
      </c>
      <c r="K53" s="563">
        <v>0</v>
      </c>
      <c r="L53" s="480">
        <v>0</v>
      </c>
      <c r="M53" s="477">
        <v>0.02</v>
      </c>
      <c r="N53" s="477">
        <v>0</v>
      </c>
      <c r="O53" s="477">
        <v>0</v>
      </c>
      <c r="P53" s="477">
        <v>0</v>
      </c>
      <c r="Q53" s="477">
        <v>0</v>
      </c>
      <c r="R53" s="477">
        <v>0</v>
      </c>
      <c r="S53" s="477">
        <v>0</v>
      </c>
      <c r="T53" s="479">
        <v>0</v>
      </c>
      <c r="U53" s="481" t="s">
        <v>390</v>
      </c>
    </row>
    <row r="54" spans="1:22" x14ac:dyDescent="0.25">
      <c r="A54" s="634"/>
      <c r="B54" s="558" t="s">
        <v>190</v>
      </c>
      <c r="C54" s="559" t="s">
        <v>191</v>
      </c>
      <c r="D54" s="560" t="s">
        <v>192</v>
      </c>
      <c r="E54" s="476">
        <v>0.52500000000000002</v>
      </c>
      <c r="F54" s="561">
        <v>0.25</v>
      </c>
      <c r="G54" s="561">
        <f t="shared" si="10"/>
        <v>0.25</v>
      </c>
      <c r="H54" s="561">
        <v>0</v>
      </c>
      <c r="I54" s="561">
        <v>0</v>
      </c>
      <c r="J54" s="561">
        <v>0</v>
      </c>
      <c r="K54" s="563">
        <v>0</v>
      </c>
      <c r="L54" s="480">
        <v>0</v>
      </c>
      <c r="M54" s="477">
        <v>0</v>
      </c>
      <c r="N54" s="477">
        <v>0</v>
      </c>
      <c r="O54" s="477">
        <v>0</v>
      </c>
      <c r="P54" s="477">
        <v>0.25</v>
      </c>
      <c r="Q54" s="477">
        <v>0</v>
      </c>
      <c r="R54" s="477">
        <v>0</v>
      </c>
      <c r="S54" s="477">
        <v>0</v>
      </c>
      <c r="T54" s="479">
        <v>0</v>
      </c>
      <c r="U54" s="481"/>
    </row>
    <row r="55" spans="1:22" x14ac:dyDescent="0.25">
      <c r="A55" s="634"/>
      <c r="B55" s="558" t="s">
        <v>173</v>
      </c>
      <c r="C55" s="559" t="s">
        <v>174</v>
      </c>
      <c r="D55" s="560" t="s">
        <v>33</v>
      </c>
      <c r="E55" s="476">
        <v>0.313</v>
      </c>
      <c r="F55" s="561">
        <v>0.15</v>
      </c>
      <c r="G55" s="561">
        <f t="shared" si="10"/>
        <v>0.15</v>
      </c>
      <c r="H55" s="561">
        <v>0</v>
      </c>
      <c r="I55" s="561">
        <v>0</v>
      </c>
      <c r="J55" s="561">
        <v>0</v>
      </c>
      <c r="K55" s="563">
        <v>0</v>
      </c>
      <c r="L55" s="480">
        <v>0</v>
      </c>
      <c r="M55" s="477">
        <v>0</v>
      </c>
      <c r="N55" s="477">
        <v>0</v>
      </c>
      <c r="O55" s="477">
        <v>0</v>
      </c>
      <c r="P55" s="477">
        <v>0.15</v>
      </c>
      <c r="Q55" s="477">
        <v>0</v>
      </c>
      <c r="R55" s="477">
        <v>0</v>
      </c>
      <c r="S55" s="477">
        <v>0</v>
      </c>
      <c r="T55" s="479">
        <v>0</v>
      </c>
      <c r="U55" s="481"/>
    </row>
    <row r="56" spans="1:22" x14ac:dyDescent="0.25">
      <c r="A56" s="634"/>
      <c r="B56" s="558" t="s">
        <v>187</v>
      </c>
      <c r="C56" s="559" t="s">
        <v>188</v>
      </c>
      <c r="D56" s="560" t="s">
        <v>189</v>
      </c>
      <c r="E56" s="476">
        <v>0.7</v>
      </c>
      <c r="F56" s="561">
        <v>0.13</v>
      </c>
      <c r="G56" s="561">
        <f t="shared" si="10"/>
        <v>0.13</v>
      </c>
      <c r="H56" s="561">
        <v>0</v>
      </c>
      <c r="I56" s="561">
        <v>0</v>
      </c>
      <c r="J56" s="561">
        <v>0</v>
      </c>
      <c r="K56" s="563">
        <v>0</v>
      </c>
      <c r="L56" s="480">
        <v>0</v>
      </c>
      <c r="M56" s="477">
        <v>0</v>
      </c>
      <c r="N56" s="477">
        <v>0</v>
      </c>
      <c r="O56" s="477">
        <v>0</v>
      </c>
      <c r="P56" s="477">
        <v>0.13</v>
      </c>
      <c r="Q56" s="477">
        <v>0</v>
      </c>
      <c r="R56" s="477">
        <v>0</v>
      </c>
      <c r="S56" s="477">
        <v>0</v>
      </c>
      <c r="T56" s="479">
        <v>0</v>
      </c>
      <c r="U56" s="481"/>
    </row>
    <row r="57" spans="1:22" x14ac:dyDescent="0.25">
      <c r="A57" s="634"/>
      <c r="B57" s="558" t="s">
        <v>175</v>
      </c>
      <c r="C57" s="559" t="s">
        <v>176</v>
      </c>
      <c r="D57" s="560" t="s">
        <v>177</v>
      </c>
      <c r="E57" s="476">
        <v>1</v>
      </c>
      <c r="F57" s="561">
        <v>0.5</v>
      </c>
      <c r="G57" s="561">
        <f t="shared" si="10"/>
        <v>0.5</v>
      </c>
      <c r="H57" s="561">
        <v>0</v>
      </c>
      <c r="I57" s="561">
        <v>0</v>
      </c>
      <c r="J57" s="561">
        <v>0</v>
      </c>
      <c r="K57" s="563">
        <v>0</v>
      </c>
      <c r="L57" s="480">
        <v>0</v>
      </c>
      <c r="M57" s="477">
        <v>0</v>
      </c>
      <c r="N57" s="477">
        <v>0</v>
      </c>
      <c r="O57" s="477">
        <v>0</v>
      </c>
      <c r="P57" s="477">
        <v>0</v>
      </c>
      <c r="Q57" s="477">
        <v>0</v>
      </c>
      <c r="R57" s="477">
        <v>0.5</v>
      </c>
      <c r="S57" s="477">
        <v>0</v>
      </c>
      <c r="T57" s="479">
        <v>0</v>
      </c>
      <c r="U57" s="481"/>
    </row>
    <row r="58" spans="1:22" x14ac:dyDescent="0.25">
      <c r="A58" s="634"/>
      <c r="B58" s="558" t="s">
        <v>150</v>
      </c>
      <c r="C58" s="559" t="s">
        <v>151</v>
      </c>
      <c r="D58" s="560" t="s">
        <v>152</v>
      </c>
      <c r="E58" s="476">
        <v>0.25</v>
      </c>
      <c r="F58" s="561">
        <v>0.14000000000000001</v>
      </c>
      <c r="G58" s="561">
        <f t="shared" si="10"/>
        <v>0.14000000000000001</v>
      </c>
      <c r="H58" s="561">
        <v>0</v>
      </c>
      <c r="I58" s="561">
        <v>0</v>
      </c>
      <c r="J58" s="561">
        <v>0</v>
      </c>
      <c r="K58" s="563">
        <v>0</v>
      </c>
      <c r="L58" s="480">
        <v>0</v>
      </c>
      <c r="M58" s="477">
        <v>0</v>
      </c>
      <c r="N58" s="477">
        <v>0</v>
      </c>
      <c r="O58" s="477">
        <v>0</v>
      </c>
      <c r="P58" s="477">
        <v>0.14000000000000001</v>
      </c>
      <c r="Q58" s="477">
        <v>0</v>
      </c>
      <c r="R58" s="477">
        <v>0</v>
      </c>
      <c r="S58" s="477">
        <v>0</v>
      </c>
      <c r="T58" s="479">
        <v>0</v>
      </c>
      <c r="U58" s="481"/>
    </row>
    <row r="59" spans="1:22" x14ac:dyDescent="0.25">
      <c r="A59" s="634"/>
      <c r="B59" s="558" t="s">
        <v>147</v>
      </c>
      <c r="C59" s="559" t="s">
        <v>148</v>
      </c>
      <c r="D59" s="560" t="s">
        <v>149</v>
      </c>
      <c r="E59" s="476">
        <v>2.97</v>
      </c>
      <c r="F59" s="561">
        <v>1.98</v>
      </c>
      <c r="G59" s="561">
        <f t="shared" si="10"/>
        <v>1.6560000000000001</v>
      </c>
      <c r="H59" s="561">
        <v>0</v>
      </c>
      <c r="I59" s="561">
        <v>0</v>
      </c>
      <c r="J59" s="561">
        <v>0</v>
      </c>
      <c r="K59" s="563">
        <v>0</v>
      </c>
      <c r="L59" s="480">
        <v>0.19600000000000001</v>
      </c>
      <c r="M59" s="477">
        <v>0.6</v>
      </c>
      <c r="N59" s="477">
        <v>0</v>
      </c>
      <c r="O59" s="477">
        <v>0.25</v>
      </c>
      <c r="P59" s="477">
        <v>0.61</v>
      </c>
      <c r="Q59" s="477">
        <v>0</v>
      </c>
      <c r="R59" s="477">
        <v>0</v>
      </c>
      <c r="S59" s="477">
        <v>0</v>
      </c>
      <c r="T59" s="479">
        <v>0</v>
      </c>
      <c r="U59" s="481"/>
    </row>
    <row r="60" spans="1:22" x14ac:dyDescent="0.25">
      <c r="A60" s="634"/>
      <c r="B60" s="558" t="s">
        <v>141</v>
      </c>
      <c r="C60" s="559" t="s">
        <v>142</v>
      </c>
      <c r="D60" s="560" t="s">
        <v>143</v>
      </c>
      <c r="E60" s="476">
        <v>0.9</v>
      </c>
      <c r="F60" s="561">
        <v>0.68</v>
      </c>
      <c r="G60" s="561">
        <f t="shared" si="10"/>
        <v>0.68</v>
      </c>
      <c r="H60" s="561">
        <v>0</v>
      </c>
      <c r="I60" s="561">
        <v>0</v>
      </c>
      <c r="J60" s="561">
        <v>0</v>
      </c>
      <c r="K60" s="563">
        <v>0</v>
      </c>
      <c r="L60" s="480">
        <v>0</v>
      </c>
      <c r="M60" s="477">
        <v>0</v>
      </c>
      <c r="N60" s="477">
        <v>0</v>
      </c>
      <c r="O60" s="477">
        <v>0.63</v>
      </c>
      <c r="P60" s="477">
        <v>0.05</v>
      </c>
      <c r="Q60" s="477">
        <v>0</v>
      </c>
      <c r="R60" s="477">
        <v>0</v>
      </c>
      <c r="S60" s="477">
        <v>0</v>
      </c>
      <c r="T60" s="479">
        <v>0</v>
      </c>
      <c r="U60" s="481"/>
    </row>
    <row r="61" spans="1:22" x14ac:dyDescent="0.25">
      <c r="A61" s="634"/>
      <c r="B61" s="558" t="s">
        <v>182</v>
      </c>
      <c r="C61" s="559" t="s">
        <v>183</v>
      </c>
      <c r="D61" s="560" t="s">
        <v>184</v>
      </c>
      <c r="E61" s="476">
        <v>2.19</v>
      </c>
      <c r="F61" s="561">
        <v>1.1499999999999999</v>
      </c>
      <c r="G61" s="561">
        <f t="shared" si="10"/>
        <v>1.25</v>
      </c>
      <c r="H61" s="561">
        <v>0</v>
      </c>
      <c r="I61" s="561">
        <v>0</v>
      </c>
      <c r="J61" s="561">
        <v>0</v>
      </c>
      <c r="K61" s="563">
        <v>0</v>
      </c>
      <c r="L61" s="480">
        <v>0.34</v>
      </c>
      <c r="M61" s="477">
        <v>0.26</v>
      </c>
      <c r="N61" s="477">
        <v>0.04</v>
      </c>
      <c r="O61" s="477">
        <v>0.04</v>
      </c>
      <c r="P61" s="477">
        <v>0.56999999999999995</v>
      </c>
      <c r="Q61" s="477">
        <v>0</v>
      </c>
      <c r="R61" s="477">
        <v>0</v>
      </c>
      <c r="S61" s="477">
        <v>0</v>
      </c>
      <c r="T61" s="479">
        <v>0</v>
      </c>
      <c r="U61" s="481"/>
    </row>
    <row r="62" spans="1:22" x14ac:dyDescent="0.25">
      <c r="A62" s="634"/>
      <c r="B62" s="558" t="s">
        <v>128</v>
      </c>
      <c r="C62" s="559" t="s">
        <v>129</v>
      </c>
      <c r="D62" s="560" t="s">
        <v>130</v>
      </c>
      <c r="E62" s="476">
        <v>13.7</v>
      </c>
      <c r="F62" s="561">
        <v>7.62</v>
      </c>
      <c r="G62" s="561">
        <f t="shared" si="10"/>
        <v>7.62</v>
      </c>
      <c r="H62" s="561">
        <v>0</v>
      </c>
      <c r="I62" s="561">
        <v>0</v>
      </c>
      <c r="J62" s="561">
        <v>0</v>
      </c>
      <c r="K62" s="563">
        <v>4.8099999999999996</v>
      </c>
      <c r="L62" s="480">
        <v>0</v>
      </c>
      <c r="M62" s="477">
        <v>0</v>
      </c>
      <c r="N62" s="477">
        <v>0</v>
      </c>
      <c r="O62" s="477">
        <v>0</v>
      </c>
      <c r="P62" s="477">
        <v>0</v>
      </c>
      <c r="Q62" s="477">
        <v>0</v>
      </c>
      <c r="R62" s="477">
        <v>7.62</v>
      </c>
      <c r="S62" s="477">
        <v>0</v>
      </c>
      <c r="T62" s="479">
        <v>0</v>
      </c>
      <c r="U62" s="481" t="s">
        <v>391</v>
      </c>
    </row>
    <row r="63" spans="1:22" x14ac:dyDescent="0.25">
      <c r="A63" s="634"/>
      <c r="B63" s="558" t="s">
        <v>153</v>
      </c>
      <c r="C63" s="559" t="s">
        <v>154</v>
      </c>
      <c r="D63" s="560" t="s">
        <v>130</v>
      </c>
      <c r="E63" s="476">
        <v>8</v>
      </c>
      <c r="F63" s="561">
        <v>3.87</v>
      </c>
      <c r="G63" s="561">
        <f t="shared" si="10"/>
        <v>0.54</v>
      </c>
      <c r="H63" s="561">
        <v>0</v>
      </c>
      <c r="I63" s="561">
        <v>0</v>
      </c>
      <c r="J63" s="561">
        <v>0</v>
      </c>
      <c r="K63" s="563">
        <v>0</v>
      </c>
      <c r="L63" s="480">
        <v>0</v>
      </c>
      <c r="M63" s="477">
        <v>0</v>
      </c>
      <c r="N63" s="477">
        <v>0</v>
      </c>
      <c r="O63" s="477">
        <v>0</v>
      </c>
      <c r="P63" s="477">
        <v>0</v>
      </c>
      <c r="Q63" s="477">
        <v>0</v>
      </c>
      <c r="R63" s="477">
        <v>0.54</v>
      </c>
      <c r="S63" s="477">
        <v>0</v>
      </c>
      <c r="T63" s="479">
        <v>0</v>
      </c>
      <c r="U63" s="481" t="s">
        <v>392</v>
      </c>
    </row>
    <row r="64" spans="1:22" x14ac:dyDescent="0.25">
      <c r="A64" s="634"/>
      <c r="B64" s="558" t="s">
        <v>196</v>
      </c>
      <c r="C64" s="559" t="s">
        <v>197</v>
      </c>
      <c r="D64" s="560" t="s">
        <v>198</v>
      </c>
      <c r="E64" s="476">
        <v>0.1</v>
      </c>
      <c r="F64" s="561">
        <v>0.02</v>
      </c>
      <c r="G64" s="561">
        <f t="shared" si="10"/>
        <v>0.02</v>
      </c>
      <c r="H64" s="561">
        <v>0</v>
      </c>
      <c r="I64" s="561">
        <v>0</v>
      </c>
      <c r="J64" s="561">
        <v>0</v>
      </c>
      <c r="K64" s="563">
        <v>0</v>
      </c>
      <c r="L64" s="480">
        <v>0</v>
      </c>
      <c r="M64" s="477">
        <v>0.02</v>
      </c>
      <c r="N64" s="477">
        <v>0</v>
      </c>
      <c r="O64" s="477">
        <v>0</v>
      </c>
      <c r="P64" s="477">
        <v>0</v>
      </c>
      <c r="Q64" s="477">
        <v>0</v>
      </c>
      <c r="R64" s="477">
        <v>0</v>
      </c>
      <c r="S64" s="477">
        <v>0</v>
      </c>
      <c r="T64" s="479">
        <v>0</v>
      </c>
      <c r="U64" s="481"/>
    </row>
    <row r="65" spans="1:21" x14ac:dyDescent="0.25">
      <c r="A65" s="634"/>
      <c r="B65" s="558" t="s">
        <v>120</v>
      </c>
      <c r="C65" s="559" t="s">
        <v>121</v>
      </c>
      <c r="D65" s="560" t="s">
        <v>122</v>
      </c>
      <c r="E65" s="476">
        <v>0.75</v>
      </c>
      <c r="F65" s="561">
        <v>0.3</v>
      </c>
      <c r="G65" s="561">
        <f t="shared" si="10"/>
        <v>0.28000000000000003</v>
      </c>
      <c r="H65" s="561">
        <v>0</v>
      </c>
      <c r="I65" s="561">
        <v>0</v>
      </c>
      <c r="J65" s="561">
        <v>0</v>
      </c>
      <c r="K65" s="563">
        <v>0.02</v>
      </c>
      <c r="L65" s="480">
        <v>0</v>
      </c>
      <c r="M65" s="477">
        <v>0</v>
      </c>
      <c r="N65" s="477">
        <v>0</v>
      </c>
      <c r="O65" s="477">
        <v>0</v>
      </c>
      <c r="P65" s="477">
        <v>0</v>
      </c>
      <c r="Q65" s="477">
        <v>0</v>
      </c>
      <c r="R65" s="477">
        <v>0.28000000000000003</v>
      </c>
      <c r="S65" s="477">
        <v>0</v>
      </c>
      <c r="T65" s="479">
        <v>0</v>
      </c>
      <c r="U65" s="481" t="s">
        <v>242</v>
      </c>
    </row>
    <row r="66" spans="1:21" x14ac:dyDescent="0.25">
      <c r="A66" s="634"/>
      <c r="B66" s="558" t="s">
        <v>131</v>
      </c>
      <c r="C66" s="559" t="s">
        <v>132</v>
      </c>
      <c r="D66" s="560" t="s">
        <v>133</v>
      </c>
      <c r="E66" s="476">
        <v>0.125</v>
      </c>
      <c r="F66" s="561">
        <v>0.12</v>
      </c>
      <c r="G66" s="561">
        <f t="shared" si="10"/>
        <v>0.12</v>
      </c>
      <c r="H66" s="561">
        <v>0</v>
      </c>
      <c r="I66" s="561">
        <v>0</v>
      </c>
      <c r="J66" s="561">
        <v>0</v>
      </c>
      <c r="K66" s="563">
        <v>0</v>
      </c>
      <c r="L66" s="480">
        <v>0</v>
      </c>
      <c r="M66" s="477">
        <v>0</v>
      </c>
      <c r="N66" s="477">
        <v>0</v>
      </c>
      <c r="O66" s="477">
        <v>0</v>
      </c>
      <c r="P66" s="477">
        <v>0.12</v>
      </c>
      <c r="Q66" s="477">
        <v>0</v>
      </c>
      <c r="R66" s="477">
        <v>0</v>
      </c>
      <c r="S66" s="477">
        <v>0</v>
      </c>
      <c r="T66" s="479">
        <v>0</v>
      </c>
      <c r="U66" s="481"/>
    </row>
    <row r="67" spans="1:21" x14ac:dyDescent="0.25">
      <c r="A67" s="634"/>
      <c r="B67" s="558" t="s">
        <v>193</v>
      </c>
      <c r="C67" s="559" t="s">
        <v>194</v>
      </c>
      <c r="D67" s="560" t="s">
        <v>195</v>
      </c>
      <c r="E67" s="476">
        <v>0.28499999999999998</v>
      </c>
      <c r="F67" s="561">
        <v>0.14000000000000001</v>
      </c>
      <c r="G67" s="561">
        <f t="shared" si="10"/>
        <v>0.14000000000000001</v>
      </c>
      <c r="H67" s="561">
        <v>0</v>
      </c>
      <c r="I67" s="561">
        <v>0</v>
      </c>
      <c r="J67" s="561">
        <v>0</v>
      </c>
      <c r="K67" s="563">
        <v>0</v>
      </c>
      <c r="L67" s="480">
        <v>0</v>
      </c>
      <c r="M67" s="477">
        <v>0</v>
      </c>
      <c r="N67" s="477">
        <v>0</v>
      </c>
      <c r="O67" s="477">
        <v>0.14000000000000001</v>
      </c>
      <c r="P67" s="477">
        <v>0</v>
      </c>
      <c r="Q67" s="477">
        <v>0</v>
      </c>
      <c r="R67" s="477">
        <v>0</v>
      </c>
      <c r="S67" s="477">
        <v>0</v>
      </c>
      <c r="T67" s="479">
        <v>0</v>
      </c>
      <c r="U67" s="481"/>
    </row>
    <row r="68" spans="1:21" x14ac:dyDescent="0.25">
      <c r="A68" s="634"/>
      <c r="B68" s="558" t="s">
        <v>240</v>
      </c>
      <c r="C68" s="559" t="s">
        <v>138</v>
      </c>
      <c r="D68" s="560" t="s">
        <v>135</v>
      </c>
      <c r="E68" s="476">
        <v>4.75</v>
      </c>
      <c r="F68" s="561">
        <v>3.5</v>
      </c>
      <c r="G68" s="561">
        <f t="shared" si="10"/>
        <v>3.9809999999999999</v>
      </c>
      <c r="H68" s="561">
        <v>0.6</v>
      </c>
      <c r="I68" s="561">
        <v>0</v>
      </c>
      <c r="J68" s="561">
        <v>0</v>
      </c>
      <c r="K68" s="563">
        <v>0</v>
      </c>
      <c r="L68" s="480">
        <v>3.44</v>
      </c>
      <c r="M68" s="477">
        <v>0.23100000000000001</v>
      </c>
      <c r="N68" s="477">
        <v>0</v>
      </c>
      <c r="O68" s="477">
        <v>0</v>
      </c>
      <c r="P68" s="477">
        <v>0.31</v>
      </c>
      <c r="Q68" s="477">
        <v>0</v>
      </c>
      <c r="R68" s="477">
        <v>0</v>
      </c>
      <c r="S68" s="477">
        <v>0</v>
      </c>
      <c r="T68" s="479">
        <v>0</v>
      </c>
      <c r="U68" s="481"/>
    </row>
    <row r="69" spans="1:21" x14ac:dyDescent="0.25">
      <c r="A69" s="634"/>
      <c r="B69" s="482" t="s">
        <v>185</v>
      </c>
      <c r="C69" s="559" t="s">
        <v>186</v>
      </c>
      <c r="D69" s="560" t="s">
        <v>135</v>
      </c>
      <c r="E69" s="476">
        <v>1.51</v>
      </c>
      <c r="F69" s="561">
        <v>1.52</v>
      </c>
      <c r="G69" s="561">
        <f t="shared" si="10"/>
        <v>0.86899999999999999</v>
      </c>
      <c r="H69" s="561">
        <v>0</v>
      </c>
      <c r="I69" s="561">
        <v>0</v>
      </c>
      <c r="J69" s="561">
        <v>0</v>
      </c>
      <c r="K69" s="563">
        <v>0</v>
      </c>
      <c r="L69" s="480">
        <v>0.5</v>
      </c>
      <c r="M69" s="477">
        <v>7.0000000000000007E-2</v>
      </c>
      <c r="N69" s="477">
        <v>0</v>
      </c>
      <c r="O69" s="477">
        <v>0.11</v>
      </c>
      <c r="P69" s="477">
        <v>8.9999999999999993E-3</v>
      </c>
      <c r="Q69" s="477">
        <v>0</v>
      </c>
      <c r="R69" s="477">
        <v>0</v>
      </c>
      <c r="S69" s="477">
        <v>0</v>
      </c>
      <c r="T69" s="479">
        <v>0.18</v>
      </c>
      <c r="U69" s="481" t="s">
        <v>393</v>
      </c>
    </row>
    <row r="70" spans="1:21" x14ac:dyDescent="0.25">
      <c r="A70" s="634"/>
      <c r="B70" s="558" t="s">
        <v>136</v>
      </c>
      <c r="C70" s="559" t="s">
        <v>137</v>
      </c>
      <c r="D70" s="560" t="s">
        <v>135</v>
      </c>
      <c r="E70" s="476">
        <v>4</v>
      </c>
      <c r="F70" s="561">
        <v>2.14</v>
      </c>
      <c r="G70" s="561">
        <f t="shared" si="10"/>
        <v>1.97</v>
      </c>
      <c r="H70" s="561">
        <v>0.26</v>
      </c>
      <c r="I70" s="561">
        <v>0</v>
      </c>
      <c r="J70" s="561">
        <v>0</v>
      </c>
      <c r="K70" s="563">
        <v>0</v>
      </c>
      <c r="L70" s="480">
        <v>1.0900000000000001</v>
      </c>
      <c r="M70" s="477">
        <v>0.14000000000000001</v>
      </c>
      <c r="N70" s="477">
        <v>0</v>
      </c>
      <c r="O70" s="477">
        <v>0</v>
      </c>
      <c r="P70" s="477">
        <v>0</v>
      </c>
      <c r="Q70" s="477">
        <v>0</v>
      </c>
      <c r="R70" s="477">
        <v>0.74</v>
      </c>
      <c r="S70" s="477">
        <v>0</v>
      </c>
      <c r="T70" s="479">
        <v>0</v>
      </c>
      <c r="U70" s="481" t="s">
        <v>394</v>
      </c>
    </row>
    <row r="71" spans="1:21" x14ac:dyDescent="0.25">
      <c r="A71" s="634"/>
      <c r="B71" s="558" t="s">
        <v>139</v>
      </c>
      <c r="C71" s="559" t="s">
        <v>140</v>
      </c>
      <c r="D71" s="560" t="s">
        <v>135</v>
      </c>
      <c r="E71" s="476">
        <v>0.13</v>
      </c>
      <c r="F71" s="561">
        <v>0.04</v>
      </c>
      <c r="G71" s="561">
        <f t="shared" si="10"/>
        <v>0.04</v>
      </c>
      <c r="H71" s="561">
        <v>0</v>
      </c>
      <c r="I71" s="561">
        <v>0</v>
      </c>
      <c r="J71" s="561">
        <v>0</v>
      </c>
      <c r="K71" s="563">
        <v>0</v>
      </c>
      <c r="L71" s="480">
        <v>0</v>
      </c>
      <c r="M71" s="477">
        <v>0</v>
      </c>
      <c r="N71" s="477">
        <v>0</v>
      </c>
      <c r="O71" s="477">
        <v>0</v>
      </c>
      <c r="P71" s="477">
        <v>0.04</v>
      </c>
      <c r="Q71" s="477">
        <v>0</v>
      </c>
      <c r="R71" s="477">
        <v>0</v>
      </c>
      <c r="S71" s="477">
        <v>0</v>
      </c>
      <c r="T71" s="479">
        <v>0</v>
      </c>
      <c r="U71" s="481"/>
    </row>
    <row r="72" spans="1:21" x14ac:dyDescent="0.25">
      <c r="A72" s="634"/>
      <c r="B72" s="558" t="s">
        <v>134</v>
      </c>
      <c r="C72" s="559" t="s">
        <v>200</v>
      </c>
      <c r="D72" s="560" t="s">
        <v>135</v>
      </c>
      <c r="E72" s="476">
        <v>1</v>
      </c>
      <c r="F72" s="561">
        <v>0.36</v>
      </c>
      <c r="G72" s="561">
        <f t="shared" si="10"/>
        <v>0.36</v>
      </c>
      <c r="H72" s="561">
        <v>0</v>
      </c>
      <c r="I72" s="561">
        <v>0</v>
      </c>
      <c r="J72" s="561">
        <v>0</v>
      </c>
      <c r="K72" s="563">
        <v>0</v>
      </c>
      <c r="L72" s="480">
        <v>0</v>
      </c>
      <c r="M72" s="477">
        <v>0</v>
      </c>
      <c r="N72" s="477">
        <v>0</v>
      </c>
      <c r="O72" s="477">
        <v>0</v>
      </c>
      <c r="P72" s="477">
        <v>0.36</v>
      </c>
      <c r="Q72" s="477">
        <v>0</v>
      </c>
      <c r="R72" s="477">
        <v>0</v>
      </c>
      <c r="S72" s="477">
        <v>0</v>
      </c>
      <c r="T72" s="479">
        <v>0</v>
      </c>
      <c r="U72" s="481"/>
    </row>
    <row r="73" spans="1:21" x14ac:dyDescent="0.25">
      <c r="A73" s="634"/>
      <c r="B73" s="558" t="s">
        <v>158</v>
      </c>
      <c r="C73" s="559" t="s">
        <v>159</v>
      </c>
      <c r="D73" s="560" t="s">
        <v>160</v>
      </c>
      <c r="E73" s="476">
        <v>7.0000000000000007E-2</v>
      </c>
      <c r="F73" s="561">
        <v>0.01</v>
      </c>
      <c r="G73" s="561">
        <v>0.01</v>
      </c>
      <c r="H73" s="561">
        <v>0</v>
      </c>
      <c r="I73" s="561">
        <v>0</v>
      </c>
      <c r="J73" s="561">
        <v>0</v>
      </c>
      <c r="K73" s="563">
        <v>0</v>
      </c>
      <c r="L73" s="480">
        <v>0</v>
      </c>
      <c r="M73" s="477">
        <v>0.01</v>
      </c>
      <c r="N73" s="477">
        <v>0</v>
      </c>
      <c r="O73" s="477">
        <v>0</v>
      </c>
      <c r="P73" s="477">
        <v>0</v>
      </c>
      <c r="Q73" s="477">
        <v>0</v>
      </c>
      <c r="R73" s="477">
        <v>0</v>
      </c>
      <c r="S73" s="477">
        <v>0</v>
      </c>
      <c r="T73" s="479">
        <v>0</v>
      </c>
      <c r="U73" s="481" t="s">
        <v>390</v>
      </c>
    </row>
    <row r="74" spans="1:21" x14ac:dyDescent="0.25">
      <c r="A74" s="634"/>
      <c r="B74" s="558" t="s">
        <v>167</v>
      </c>
      <c r="C74" s="559" t="s">
        <v>168</v>
      </c>
      <c r="D74" s="560" t="s">
        <v>169</v>
      </c>
      <c r="E74" s="476">
        <v>0.17599999999999999</v>
      </c>
      <c r="F74" s="561">
        <v>0.04</v>
      </c>
      <c r="G74" s="561">
        <f t="shared" ref="G74:G79" si="11">L74+M74+N74+O74+P74+Q74+R74+S74+T74</f>
        <v>0.04</v>
      </c>
      <c r="H74" s="561">
        <v>0</v>
      </c>
      <c r="I74" s="561">
        <v>0</v>
      </c>
      <c r="J74" s="561">
        <v>0</v>
      </c>
      <c r="K74" s="563">
        <v>0</v>
      </c>
      <c r="L74" s="480">
        <v>0</v>
      </c>
      <c r="M74" s="477">
        <v>0</v>
      </c>
      <c r="N74" s="477">
        <v>0</v>
      </c>
      <c r="O74" s="477">
        <v>0</v>
      </c>
      <c r="P74" s="477">
        <v>0.04</v>
      </c>
      <c r="Q74" s="477">
        <v>0</v>
      </c>
      <c r="R74" s="477">
        <v>0</v>
      </c>
      <c r="S74" s="477">
        <v>0</v>
      </c>
      <c r="T74" s="479">
        <v>0</v>
      </c>
      <c r="U74" s="481"/>
    </row>
    <row r="75" spans="1:21" x14ac:dyDescent="0.25">
      <c r="A75" s="634"/>
      <c r="B75" s="558" t="s">
        <v>164</v>
      </c>
      <c r="C75" s="559" t="s">
        <v>165</v>
      </c>
      <c r="D75" s="560" t="s">
        <v>166</v>
      </c>
      <c r="E75" s="476">
        <v>0.14099999999999999</v>
      </c>
      <c r="F75" s="561">
        <v>0.03</v>
      </c>
      <c r="G75" s="561">
        <f t="shared" si="11"/>
        <v>0.03</v>
      </c>
      <c r="H75" s="561">
        <v>0</v>
      </c>
      <c r="I75" s="561">
        <v>0</v>
      </c>
      <c r="J75" s="561">
        <v>0</v>
      </c>
      <c r="K75" s="563">
        <v>0</v>
      </c>
      <c r="L75" s="480">
        <v>0</v>
      </c>
      <c r="M75" s="477">
        <v>0</v>
      </c>
      <c r="N75" s="477">
        <v>0</v>
      </c>
      <c r="O75" s="477">
        <v>0</v>
      </c>
      <c r="P75" s="477">
        <v>0.03</v>
      </c>
      <c r="Q75" s="477">
        <v>0</v>
      </c>
      <c r="R75" s="477">
        <v>0</v>
      </c>
      <c r="S75" s="477">
        <v>0</v>
      </c>
      <c r="T75" s="479">
        <v>0</v>
      </c>
      <c r="U75" s="481"/>
    </row>
    <row r="76" spans="1:21" x14ac:dyDescent="0.25">
      <c r="A76" s="634"/>
      <c r="B76" s="558" t="s">
        <v>170</v>
      </c>
      <c r="C76" s="559" t="s">
        <v>171</v>
      </c>
      <c r="D76" s="560" t="s">
        <v>172</v>
      </c>
      <c r="E76" s="476">
        <v>0.19</v>
      </c>
      <c r="F76" s="561">
        <v>0.11</v>
      </c>
      <c r="G76" s="561">
        <f t="shared" si="11"/>
        <v>0.11</v>
      </c>
      <c r="H76" s="561">
        <v>0</v>
      </c>
      <c r="I76" s="561">
        <v>0</v>
      </c>
      <c r="J76" s="561">
        <v>0</v>
      </c>
      <c r="K76" s="563">
        <v>0</v>
      </c>
      <c r="L76" s="480">
        <v>0</v>
      </c>
      <c r="M76" s="477">
        <v>0.11</v>
      </c>
      <c r="N76" s="477">
        <v>0</v>
      </c>
      <c r="O76" s="477">
        <v>0</v>
      </c>
      <c r="P76" s="477">
        <v>0</v>
      </c>
      <c r="Q76" s="477">
        <v>0</v>
      </c>
      <c r="R76" s="477">
        <v>0</v>
      </c>
      <c r="S76" s="477">
        <v>0</v>
      </c>
      <c r="T76" s="479">
        <v>0</v>
      </c>
      <c r="U76" s="481"/>
    </row>
    <row r="77" spans="1:21" x14ac:dyDescent="0.25">
      <c r="A77" s="634"/>
      <c r="B77" s="558" t="s">
        <v>155</v>
      </c>
      <c r="C77" s="559" t="s">
        <v>156</v>
      </c>
      <c r="D77" s="560" t="s">
        <v>157</v>
      </c>
      <c r="E77" s="476">
        <v>0.34</v>
      </c>
      <c r="F77" s="561">
        <v>0.13</v>
      </c>
      <c r="G77" s="561">
        <f t="shared" si="11"/>
        <v>0.13</v>
      </c>
      <c r="H77" s="561">
        <v>0</v>
      </c>
      <c r="I77" s="561">
        <v>0</v>
      </c>
      <c r="J77" s="561">
        <v>0</v>
      </c>
      <c r="K77" s="563">
        <v>0</v>
      </c>
      <c r="L77" s="480">
        <v>0</v>
      </c>
      <c r="M77" s="477">
        <v>0</v>
      </c>
      <c r="N77" s="477">
        <v>0</v>
      </c>
      <c r="O77" s="477">
        <v>0</v>
      </c>
      <c r="P77" s="477">
        <v>0.13</v>
      </c>
      <c r="Q77" s="477">
        <v>0</v>
      </c>
      <c r="R77" s="477">
        <v>0</v>
      </c>
      <c r="S77" s="477">
        <v>0</v>
      </c>
      <c r="T77" s="479">
        <v>0</v>
      </c>
      <c r="U77" s="481"/>
    </row>
    <row r="78" spans="1:21" x14ac:dyDescent="0.25">
      <c r="A78" s="634"/>
      <c r="B78" s="558" t="s">
        <v>179</v>
      </c>
      <c r="C78" s="559" t="s">
        <v>180</v>
      </c>
      <c r="D78" s="560" t="s">
        <v>181</v>
      </c>
      <c r="E78" s="476">
        <v>1.7</v>
      </c>
      <c r="F78" s="561">
        <v>1.25</v>
      </c>
      <c r="G78" s="561">
        <f t="shared" si="11"/>
        <v>1.2780000000000002</v>
      </c>
      <c r="H78" s="561">
        <v>0</v>
      </c>
      <c r="I78" s="561">
        <v>0</v>
      </c>
      <c r="J78" s="561">
        <v>0</v>
      </c>
      <c r="K78" s="563">
        <v>0</v>
      </c>
      <c r="L78" s="480">
        <v>0.81</v>
      </c>
      <c r="M78" s="477">
        <v>0.27</v>
      </c>
      <c r="N78" s="477">
        <v>0.1</v>
      </c>
      <c r="O78" s="477">
        <v>0</v>
      </c>
      <c r="P78" s="477">
        <v>0</v>
      </c>
      <c r="Q78" s="477">
        <v>0</v>
      </c>
      <c r="R78" s="477">
        <v>9.8000000000000004E-2</v>
      </c>
      <c r="S78" s="477">
        <v>0</v>
      </c>
      <c r="T78" s="479">
        <v>0</v>
      </c>
      <c r="U78" s="481"/>
    </row>
    <row r="79" spans="1:21" ht="16.5" thickBot="1" x14ac:dyDescent="0.3">
      <c r="A79" s="634"/>
      <c r="B79" s="564" t="s">
        <v>126</v>
      </c>
      <c r="C79" s="565" t="s">
        <v>127</v>
      </c>
      <c r="D79" s="566" t="s">
        <v>181</v>
      </c>
      <c r="E79" s="486">
        <v>7.5</v>
      </c>
      <c r="F79" s="567">
        <v>4.0599999999999996</v>
      </c>
      <c r="G79" s="567">
        <f t="shared" si="11"/>
        <v>0.01</v>
      </c>
      <c r="H79" s="567">
        <v>0</v>
      </c>
      <c r="I79" s="567">
        <v>0</v>
      </c>
      <c r="J79" s="567">
        <v>0</v>
      </c>
      <c r="K79" s="568">
        <v>4.05</v>
      </c>
      <c r="L79" s="490">
        <v>0.01</v>
      </c>
      <c r="M79" s="487">
        <v>0</v>
      </c>
      <c r="N79" s="487">
        <v>0</v>
      </c>
      <c r="O79" s="487">
        <v>0</v>
      </c>
      <c r="P79" s="487">
        <v>0</v>
      </c>
      <c r="Q79" s="487">
        <v>0</v>
      </c>
      <c r="R79" s="487">
        <v>0</v>
      </c>
      <c r="S79" s="487">
        <v>0</v>
      </c>
      <c r="T79" s="489">
        <v>0</v>
      </c>
      <c r="U79" s="491"/>
    </row>
    <row r="80" spans="1:21" ht="17.25" thickTop="1" thickBot="1" x14ac:dyDescent="0.3">
      <c r="A80" s="658"/>
      <c r="B80" s="643" t="s">
        <v>364</v>
      </c>
      <c r="C80" s="644"/>
      <c r="D80" s="645"/>
      <c r="E80" s="510">
        <f>SUM(E50:E79)</f>
        <v>61.46</v>
      </c>
      <c r="F80" s="511">
        <f t="shared" ref="F80:T80" si="12">SUM(F50:F79)</f>
        <v>34.950000000000003</v>
      </c>
      <c r="G80" s="511">
        <f t="shared" si="12"/>
        <v>27.364000000000001</v>
      </c>
      <c r="H80" s="511">
        <f t="shared" si="12"/>
        <v>1.31</v>
      </c>
      <c r="I80" s="511">
        <f t="shared" si="12"/>
        <v>0.27</v>
      </c>
      <c r="J80" s="512">
        <f t="shared" si="12"/>
        <v>0.27</v>
      </c>
      <c r="K80" s="513">
        <f t="shared" si="12"/>
        <v>8.879999999999999</v>
      </c>
      <c r="L80" s="510">
        <f t="shared" si="12"/>
        <v>6.5760000000000005</v>
      </c>
      <c r="M80" s="511">
        <f t="shared" si="12"/>
        <v>1.7310000000000003</v>
      </c>
      <c r="N80" s="511">
        <f t="shared" si="12"/>
        <v>0.14000000000000001</v>
      </c>
      <c r="O80" s="511">
        <f t="shared" si="12"/>
        <v>2.48</v>
      </c>
      <c r="P80" s="511">
        <f t="shared" si="12"/>
        <v>2.9389999999999996</v>
      </c>
      <c r="Q80" s="511">
        <f t="shared" si="12"/>
        <v>0</v>
      </c>
      <c r="R80" s="511">
        <f>SUM(R50:R79)</f>
        <v>12.818</v>
      </c>
      <c r="S80" s="511">
        <f t="shared" si="12"/>
        <v>0.5</v>
      </c>
      <c r="T80" s="513">
        <f t="shared" si="12"/>
        <v>0.18</v>
      </c>
      <c r="U80" s="514"/>
    </row>
    <row r="81" spans="1:22" ht="16.5" thickBot="1" x14ac:dyDescent="0.3">
      <c r="A81" s="655" t="s">
        <v>379</v>
      </c>
      <c r="B81" s="656"/>
      <c r="C81" s="656"/>
      <c r="D81" s="657"/>
      <c r="E81" s="515">
        <f>E49+E80</f>
        <v>64.56</v>
      </c>
      <c r="F81" s="516">
        <f t="shared" ref="F81:T81" si="13">F49+F80</f>
        <v>37.752400000000002</v>
      </c>
      <c r="G81" s="516">
        <f t="shared" si="13"/>
        <v>29.462900000000001</v>
      </c>
      <c r="H81" s="516">
        <f t="shared" si="13"/>
        <v>1.31</v>
      </c>
      <c r="I81" s="516">
        <f t="shared" si="13"/>
        <v>2.9055</v>
      </c>
      <c r="J81" s="517">
        <f t="shared" si="13"/>
        <v>2.7440000000000002</v>
      </c>
      <c r="K81" s="518">
        <f t="shared" si="13"/>
        <v>9.1129999999999995</v>
      </c>
      <c r="L81" s="515">
        <f t="shared" si="13"/>
        <v>8.2690000000000001</v>
      </c>
      <c r="M81" s="516">
        <f t="shared" si="13"/>
        <v>1.8125000000000002</v>
      </c>
      <c r="N81" s="516">
        <f t="shared" si="13"/>
        <v>0.14000000000000001</v>
      </c>
      <c r="O81" s="516">
        <f t="shared" si="13"/>
        <v>2.5754000000000001</v>
      </c>
      <c r="P81" s="516">
        <f t="shared" si="13"/>
        <v>3.1679999999999997</v>
      </c>
      <c r="Q81" s="516">
        <f t="shared" si="13"/>
        <v>0</v>
      </c>
      <c r="R81" s="516">
        <f t="shared" si="13"/>
        <v>12.818</v>
      </c>
      <c r="S81" s="516">
        <f t="shared" si="13"/>
        <v>0.5</v>
      </c>
      <c r="T81" s="518">
        <f t="shared" si="13"/>
        <v>0.18</v>
      </c>
      <c r="U81" s="519"/>
    </row>
    <row r="82" spans="1:22" x14ac:dyDescent="0.25">
      <c r="A82" s="633" t="s">
        <v>365</v>
      </c>
      <c r="B82" s="520" t="s">
        <v>92</v>
      </c>
      <c r="C82" s="569" t="s">
        <v>93</v>
      </c>
      <c r="D82" s="522" t="s">
        <v>94</v>
      </c>
      <c r="E82" s="523">
        <v>12.5</v>
      </c>
      <c r="F82" s="524">
        <v>7.03</v>
      </c>
      <c r="G82" s="524">
        <f t="shared" ref="G82:G89" si="14">L82+M82+N82+O82+P82+Q82+R82+S82+T82</f>
        <v>9.1289999999999996</v>
      </c>
      <c r="H82" s="524">
        <v>0.35</v>
      </c>
      <c r="I82" s="524">
        <v>0</v>
      </c>
      <c r="J82" s="525">
        <v>0</v>
      </c>
      <c r="K82" s="526">
        <v>0</v>
      </c>
      <c r="L82" s="527">
        <v>7.3330000000000002</v>
      </c>
      <c r="M82" s="524">
        <v>0</v>
      </c>
      <c r="N82" s="524">
        <v>0</v>
      </c>
      <c r="O82" s="524">
        <v>0</v>
      </c>
      <c r="P82" s="524">
        <v>0</v>
      </c>
      <c r="Q82" s="524">
        <v>0</v>
      </c>
      <c r="R82" s="524">
        <v>0.311</v>
      </c>
      <c r="S82" s="524">
        <v>0</v>
      </c>
      <c r="T82" s="526">
        <v>1.4850000000000001</v>
      </c>
      <c r="U82" s="505"/>
    </row>
    <row r="83" spans="1:22" x14ac:dyDescent="0.25">
      <c r="A83" s="634"/>
      <c r="B83" s="482" t="s">
        <v>97</v>
      </c>
      <c r="C83" s="474" t="s">
        <v>98</v>
      </c>
      <c r="D83" s="535" t="s">
        <v>99</v>
      </c>
      <c r="E83" s="476">
        <v>2.2000000000000002</v>
      </c>
      <c r="F83" s="477">
        <v>0.72599999999999998</v>
      </c>
      <c r="G83" s="477">
        <f t="shared" si="14"/>
        <v>0.99399999999999999</v>
      </c>
      <c r="H83" s="477">
        <v>0.186</v>
      </c>
      <c r="I83" s="477">
        <v>0</v>
      </c>
      <c r="J83" s="478">
        <v>0</v>
      </c>
      <c r="K83" s="479">
        <v>0</v>
      </c>
      <c r="L83" s="480">
        <v>0.751</v>
      </c>
      <c r="M83" s="477">
        <v>0.13300000000000001</v>
      </c>
      <c r="N83" s="477">
        <v>0</v>
      </c>
      <c r="O83" s="477">
        <v>0</v>
      </c>
      <c r="P83" s="477">
        <v>0.11</v>
      </c>
      <c r="Q83" s="477">
        <v>0</v>
      </c>
      <c r="R83" s="477">
        <v>0</v>
      </c>
      <c r="S83" s="477">
        <v>0</v>
      </c>
      <c r="T83" s="479">
        <v>0</v>
      </c>
      <c r="U83" s="481"/>
    </row>
    <row r="84" spans="1:22" x14ac:dyDescent="0.25">
      <c r="A84" s="634"/>
      <c r="B84" s="482" t="s">
        <v>108</v>
      </c>
      <c r="C84" s="474" t="s">
        <v>109</v>
      </c>
      <c r="D84" s="535" t="s">
        <v>110</v>
      </c>
      <c r="E84" s="476">
        <v>0.25</v>
      </c>
      <c r="F84" s="477">
        <v>0.191</v>
      </c>
      <c r="G84" s="477">
        <f t="shared" si="14"/>
        <v>0.191</v>
      </c>
      <c r="H84" s="477">
        <v>0</v>
      </c>
      <c r="I84" s="477">
        <v>0</v>
      </c>
      <c r="J84" s="478">
        <v>0</v>
      </c>
      <c r="K84" s="479">
        <v>0</v>
      </c>
      <c r="L84" s="480">
        <v>0.13500000000000001</v>
      </c>
      <c r="M84" s="477">
        <v>0</v>
      </c>
      <c r="N84" s="477">
        <v>0</v>
      </c>
      <c r="O84" s="477">
        <v>5.6000000000000001E-2</v>
      </c>
      <c r="P84" s="477">
        <v>0</v>
      </c>
      <c r="Q84" s="477">
        <v>0</v>
      </c>
      <c r="R84" s="477">
        <v>0</v>
      </c>
      <c r="S84" s="477">
        <v>0</v>
      </c>
      <c r="T84" s="479">
        <v>0</v>
      </c>
      <c r="U84" s="481"/>
    </row>
    <row r="85" spans="1:22" x14ac:dyDescent="0.25">
      <c r="A85" s="634"/>
      <c r="B85" s="482" t="s">
        <v>117</v>
      </c>
      <c r="C85" s="474" t="s">
        <v>208</v>
      </c>
      <c r="D85" s="535" t="s">
        <v>118</v>
      </c>
      <c r="E85" s="476">
        <v>0.47</v>
      </c>
      <c r="F85" s="477">
        <v>0.38</v>
      </c>
      <c r="G85" s="477">
        <f t="shared" si="14"/>
        <v>0.38</v>
      </c>
      <c r="H85" s="477">
        <v>0</v>
      </c>
      <c r="I85" s="477">
        <v>0</v>
      </c>
      <c r="J85" s="478">
        <v>0</v>
      </c>
      <c r="K85" s="479">
        <v>0</v>
      </c>
      <c r="L85" s="480">
        <v>0</v>
      </c>
      <c r="M85" s="477">
        <v>0</v>
      </c>
      <c r="N85" s="477">
        <v>0</v>
      </c>
      <c r="O85" s="477">
        <v>0</v>
      </c>
      <c r="P85" s="477">
        <v>0.38</v>
      </c>
      <c r="Q85" s="477">
        <v>0</v>
      </c>
      <c r="R85" s="477">
        <v>0</v>
      </c>
      <c r="S85" s="477">
        <v>0</v>
      </c>
      <c r="T85" s="479">
        <v>0</v>
      </c>
      <c r="U85" s="481"/>
    </row>
    <row r="86" spans="1:22" ht="31.5" x14ac:dyDescent="0.25">
      <c r="A86" s="634"/>
      <c r="B86" s="482" t="s">
        <v>12</v>
      </c>
      <c r="C86" s="474" t="s">
        <v>209</v>
      </c>
      <c r="D86" s="535" t="s">
        <v>25</v>
      </c>
      <c r="E86" s="476">
        <v>40</v>
      </c>
      <c r="F86" s="477">
        <v>22.08</v>
      </c>
      <c r="G86" s="477">
        <f t="shared" si="14"/>
        <v>20.36</v>
      </c>
      <c r="H86" s="477">
        <v>0</v>
      </c>
      <c r="I86" s="477">
        <v>0.124</v>
      </c>
      <c r="J86" s="478">
        <v>0.56000000000000005</v>
      </c>
      <c r="K86" s="479">
        <v>2.06</v>
      </c>
      <c r="L86" s="480">
        <v>4.71</v>
      </c>
      <c r="M86" s="477">
        <v>0</v>
      </c>
      <c r="N86" s="477">
        <v>0</v>
      </c>
      <c r="O86" s="477">
        <v>0</v>
      </c>
      <c r="P86" s="477">
        <v>0</v>
      </c>
      <c r="Q86" s="477">
        <v>0</v>
      </c>
      <c r="R86" s="477">
        <v>0</v>
      </c>
      <c r="S86" s="477">
        <v>15.65</v>
      </c>
      <c r="T86" s="479">
        <v>0</v>
      </c>
      <c r="U86" s="493" t="s">
        <v>540</v>
      </c>
      <c r="V86" s="465"/>
    </row>
    <row r="87" spans="1:22" x14ac:dyDescent="0.25">
      <c r="A87" s="634"/>
      <c r="B87" s="482" t="s">
        <v>105</v>
      </c>
      <c r="C87" s="474" t="s">
        <v>106</v>
      </c>
      <c r="D87" s="535" t="s">
        <v>107</v>
      </c>
      <c r="E87" s="476">
        <v>2.4</v>
      </c>
      <c r="F87" s="477">
        <v>1.7170000000000001</v>
      </c>
      <c r="G87" s="477">
        <f t="shared" si="14"/>
        <v>2.2720000000000002</v>
      </c>
      <c r="H87" s="477">
        <v>0</v>
      </c>
      <c r="I87" s="477">
        <v>0.55500000000000005</v>
      </c>
      <c r="J87" s="478">
        <v>0</v>
      </c>
      <c r="K87" s="479">
        <v>0</v>
      </c>
      <c r="L87" s="480">
        <v>1.996</v>
      </c>
      <c r="M87" s="477">
        <v>9.5000000000000001E-2</v>
      </c>
      <c r="N87" s="477">
        <v>0</v>
      </c>
      <c r="O87" s="477">
        <v>0</v>
      </c>
      <c r="P87" s="477">
        <v>0.18099999999999999</v>
      </c>
      <c r="Q87" s="477">
        <v>0</v>
      </c>
      <c r="R87" s="477">
        <v>0</v>
      </c>
      <c r="S87" s="477">
        <v>0</v>
      </c>
      <c r="T87" s="479">
        <v>0</v>
      </c>
      <c r="U87" s="481"/>
    </row>
    <row r="88" spans="1:22" x14ac:dyDescent="0.25">
      <c r="A88" s="634"/>
      <c r="B88" s="482" t="s">
        <v>111</v>
      </c>
      <c r="C88" s="474" t="s">
        <v>112</v>
      </c>
      <c r="D88" s="535" t="s">
        <v>113</v>
      </c>
      <c r="E88" s="476">
        <v>0.15</v>
      </c>
      <c r="F88" s="477">
        <v>9.5000000000000001E-2</v>
      </c>
      <c r="G88" s="477">
        <f t="shared" si="14"/>
        <v>9.5000000000000001E-2</v>
      </c>
      <c r="H88" s="477">
        <v>0</v>
      </c>
      <c r="I88" s="477">
        <v>0</v>
      </c>
      <c r="J88" s="478">
        <v>0</v>
      </c>
      <c r="K88" s="479">
        <v>0</v>
      </c>
      <c r="L88" s="480">
        <v>2.5999999999999999E-2</v>
      </c>
      <c r="M88" s="477">
        <v>0</v>
      </c>
      <c r="N88" s="477">
        <v>0</v>
      </c>
      <c r="O88" s="477">
        <v>0</v>
      </c>
      <c r="P88" s="477">
        <v>0</v>
      </c>
      <c r="Q88" s="477">
        <v>0</v>
      </c>
      <c r="R88" s="477">
        <v>0</v>
      </c>
      <c r="S88" s="477">
        <v>0</v>
      </c>
      <c r="T88" s="479">
        <v>6.9000000000000006E-2</v>
      </c>
      <c r="U88" s="481"/>
    </row>
    <row r="89" spans="1:22" x14ac:dyDescent="0.25">
      <c r="A89" s="634"/>
      <c r="B89" s="482" t="s">
        <v>90</v>
      </c>
      <c r="C89" s="474" t="s">
        <v>248</v>
      </c>
      <c r="D89" s="535" t="s">
        <v>91</v>
      </c>
      <c r="E89" s="476">
        <v>7.3</v>
      </c>
      <c r="F89" s="477">
        <v>5.819</v>
      </c>
      <c r="G89" s="477">
        <f t="shared" si="14"/>
        <v>6.9959999999999996</v>
      </c>
      <c r="H89" s="477">
        <v>0.21</v>
      </c>
      <c r="I89" s="477">
        <v>1.516</v>
      </c>
      <c r="J89" s="478">
        <v>0</v>
      </c>
      <c r="K89" s="479">
        <v>0</v>
      </c>
      <c r="L89" s="480">
        <v>4.8949999999999996</v>
      </c>
      <c r="M89" s="477">
        <v>0.35099999999999998</v>
      </c>
      <c r="N89" s="477">
        <v>6.0000000000000001E-3</v>
      </c>
      <c r="O89" s="477">
        <v>1.0940000000000001</v>
      </c>
      <c r="P89" s="477">
        <v>0</v>
      </c>
      <c r="Q89" s="477">
        <v>0</v>
      </c>
      <c r="R89" s="477">
        <v>0.55000000000000004</v>
      </c>
      <c r="S89" s="477">
        <v>0</v>
      </c>
      <c r="T89" s="479">
        <v>0.1</v>
      </c>
      <c r="U89" s="481" t="s">
        <v>395</v>
      </c>
    </row>
    <row r="90" spans="1:22" x14ac:dyDescent="0.25">
      <c r="A90" s="634"/>
      <c r="B90" s="482" t="s">
        <v>202</v>
      </c>
      <c r="C90" s="474" t="s">
        <v>203</v>
      </c>
      <c r="D90" s="535" t="s">
        <v>91</v>
      </c>
      <c r="E90" s="476">
        <v>3</v>
      </c>
      <c r="F90" s="477">
        <v>1.516</v>
      </c>
      <c r="G90" s="536">
        <v>0</v>
      </c>
      <c r="H90" s="477">
        <v>0</v>
      </c>
      <c r="I90" s="477">
        <v>0</v>
      </c>
      <c r="J90" s="478">
        <v>1.516</v>
      </c>
      <c r="K90" s="479">
        <v>0</v>
      </c>
      <c r="L90" s="538">
        <v>0</v>
      </c>
      <c r="M90" s="536">
        <v>0</v>
      </c>
      <c r="N90" s="536">
        <v>0</v>
      </c>
      <c r="O90" s="536">
        <v>0</v>
      </c>
      <c r="P90" s="477">
        <v>0</v>
      </c>
      <c r="Q90" s="477">
        <v>0</v>
      </c>
      <c r="R90" s="536">
        <v>0</v>
      </c>
      <c r="S90" s="477">
        <v>0</v>
      </c>
      <c r="T90" s="539">
        <v>0</v>
      </c>
      <c r="U90" s="481" t="s">
        <v>404</v>
      </c>
    </row>
    <row r="91" spans="1:22" x14ac:dyDescent="0.25">
      <c r="A91" s="634"/>
      <c r="B91" s="482" t="s">
        <v>119</v>
      </c>
      <c r="C91" s="474" t="s">
        <v>247</v>
      </c>
      <c r="D91" s="535" t="s">
        <v>116</v>
      </c>
      <c r="E91" s="476">
        <v>3.5</v>
      </c>
      <c r="F91" s="477">
        <v>2.3199999999999998</v>
      </c>
      <c r="G91" s="477">
        <f>L91+M91+N91+O91+P91+Q91+R91+S91+T91</f>
        <v>4.774</v>
      </c>
      <c r="H91" s="477">
        <v>0.127</v>
      </c>
      <c r="I91" s="477">
        <v>2.27</v>
      </c>
      <c r="J91" s="478">
        <v>0</v>
      </c>
      <c r="K91" s="479">
        <v>0</v>
      </c>
      <c r="L91" s="480">
        <v>4.2009999999999996</v>
      </c>
      <c r="M91" s="477">
        <v>1E-3</v>
      </c>
      <c r="N91" s="477">
        <v>0</v>
      </c>
      <c r="O91" s="477">
        <v>0</v>
      </c>
      <c r="P91" s="477">
        <v>0.56599999999999995</v>
      </c>
      <c r="Q91" s="477">
        <v>0</v>
      </c>
      <c r="R91" s="477">
        <v>0</v>
      </c>
      <c r="S91" s="477">
        <v>0</v>
      </c>
      <c r="T91" s="479">
        <v>6.0000000000000001E-3</v>
      </c>
      <c r="U91" s="481"/>
    </row>
    <row r="92" spans="1:22" x14ac:dyDescent="0.25">
      <c r="A92" s="634"/>
      <c r="B92" s="482" t="s">
        <v>114</v>
      </c>
      <c r="C92" s="474" t="s">
        <v>115</v>
      </c>
      <c r="D92" s="535" t="s">
        <v>116</v>
      </c>
      <c r="E92" s="476">
        <v>6.5</v>
      </c>
      <c r="F92" s="477">
        <v>2.2709999999999999</v>
      </c>
      <c r="G92" s="536">
        <v>0</v>
      </c>
      <c r="H92" s="477">
        <v>0</v>
      </c>
      <c r="I92" s="477">
        <v>0</v>
      </c>
      <c r="J92" s="478">
        <v>2.27</v>
      </c>
      <c r="K92" s="479">
        <v>0</v>
      </c>
      <c r="L92" s="538">
        <v>0</v>
      </c>
      <c r="M92" s="477">
        <v>0</v>
      </c>
      <c r="N92" s="477">
        <v>0</v>
      </c>
      <c r="O92" s="477">
        <v>0</v>
      </c>
      <c r="P92" s="536">
        <v>0</v>
      </c>
      <c r="Q92" s="477">
        <v>0</v>
      </c>
      <c r="R92" s="477">
        <v>0</v>
      </c>
      <c r="S92" s="477">
        <v>0</v>
      </c>
      <c r="T92" s="539">
        <v>0</v>
      </c>
      <c r="U92" s="481"/>
    </row>
    <row r="93" spans="1:22" x14ac:dyDescent="0.25">
      <c r="A93" s="634"/>
      <c r="B93" s="482" t="s">
        <v>95</v>
      </c>
      <c r="C93" s="474" t="s">
        <v>96</v>
      </c>
      <c r="D93" s="535" t="s">
        <v>96</v>
      </c>
      <c r="E93" s="476">
        <v>2.9</v>
      </c>
      <c r="F93" s="477">
        <v>1.9810000000000001</v>
      </c>
      <c r="G93" s="477">
        <f>L93+M93+N93+O93+P93+Q93+R93+S93+T93</f>
        <v>1.9089999999999998</v>
      </c>
      <c r="H93" s="477">
        <v>0</v>
      </c>
      <c r="I93" s="477">
        <v>0</v>
      </c>
      <c r="J93" s="478">
        <v>0</v>
      </c>
      <c r="K93" s="479">
        <v>7.4999999999999997E-2</v>
      </c>
      <c r="L93" s="480">
        <v>1.8069999999999999</v>
      </c>
      <c r="M93" s="477">
        <v>5.8999999999999997E-2</v>
      </c>
      <c r="N93" s="477">
        <v>0</v>
      </c>
      <c r="O93" s="477">
        <v>0</v>
      </c>
      <c r="P93" s="477">
        <v>4.2999999999999997E-2</v>
      </c>
      <c r="Q93" s="477">
        <v>0</v>
      </c>
      <c r="R93" s="477">
        <v>0</v>
      </c>
      <c r="S93" s="477">
        <v>0</v>
      </c>
      <c r="T93" s="479">
        <v>0</v>
      </c>
      <c r="U93" s="481"/>
    </row>
    <row r="94" spans="1:22" x14ac:dyDescent="0.25">
      <c r="A94" s="634"/>
      <c r="B94" s="482" t="s">
        <v>103</v>
      </c>
      <c r="C94" s="474" t="s">
        <v>104</v>
      </c>
      <c r="D94" s="535" t="s">
        <v>102</v>
      </c>
      <c r="E94" s="476">
        <v>2.0099999999999998</v>
      </c>
      <c r="F94" s="477">
        <v>1.194</v>
      </c>
      <c r="G94" s="477">
        <f>L94+M94+N94+O94+P94+Q94+R94+S94+T94</f>
        <v>1.1940000000000002</v>
      </c>
      <c r="H94" s="477">
        <v>0</v>
      </c>
      <c r="I94" s="477">
        <v>0</v>
      </c>
      <c r="J94" s="478">
        <v>0</v>
      </c>
      <c r="K94" s="479">
        <v>0</v>
      </c>
      <c r="L94" s="480">
        <v>0.30299999999999999</v>
      </c>
      <c r="M94" s="477">
        <v>0.45</v>
      </c>
      <c r="N94" s="477">
        <v>0</v>
      </c>
      <c r="O94" s="477">
        <v>0</v>
      </c>
      <c r="P94" s="477">
        <v>0.36699999999999999</v>
      </c>
      <c r="Q94" s="477">
        <v>0</v>
      </c>
      <c r="R94" s="477">
        <v>0</v>
      </c>
      <c r="S94" s="477">
        <v>0</v>
      </c>
      <c r="T94" s="479">
        <v>7.3999999999999996E-2</v>
      </c>
      <c r="U94" s="481"/>
    </row>
    <row r="95" spans="1:22" ht="16.5" thickBot="1" x14ac:dyDescent="0.3">
      <c r="A95" s="634"/>
      <c r="B95" s="483" t="s">
        <v>100</v>
      </c>
      <c r="C95" s="484" t="s">
        <v>101</v>
      </c>
      <c r="D95" s="543" t="s">
        <v>102</v>
      </c>
      <c r="E95" s="486">
        <v>2.0699999999999998</v>
      </c>
      <c r="F95" s="487">
        <v>1.093</v>
      </c>
      <c r="G95" s="487">
        <f>L95+M95+N95+O95+P95+Q95+R95+S95+T95</f>
        <v>1.093</v>
      </c>
      <c r="H95" s="487">
        <v>0</v>
      </c>
      <c r="I95" s="487">
        <v>0</v>
      </c>
      <c r="J95" s="488">
        <v>0</v>
      </c>
      <c r="K95" s="489">
        <v>0</v>
      </c>
      <c r="L95" s="490">
        <v>0.22</v>
      </c>
      <c r="M95" s="487">
        <v>0.70299999999999996</v>
      </c>
      <c r="N95" s="487">
        <v>0</v>
      </c>
      <c r="O95" s="487">
        <v>0</v>
      </c>
      <c r="P95" s="487">
        <v>0.13400000000000001</v>
      </c>
      <c r="Q95" s="487">
        <v>0</v>
      </c>
      <c r="R95" s="487">
        <v>0</v>
      </c>
      <c r="S95" s="487">
        <v>0</v>
      </c>
      <c r="T95" s="489">
        <v>3.5999999999999997E-2</v>
      </c>
      <c r="U95" s="491"/>
    </row>
    <row r="96" spans="1:22" ht="17.25" thickTop="1" thickBot="1" x14ac:dyDescent="0.3">
      <c r="A96" s="635"/>
      <c r="B96" s="630" t="s">
        <v>366</v>
      </c>
      <c r="C96" s="631"/>
      <c r="D96" s="632"/>
      <c r="E96" s="457">
        <f>SUM(E82:E95)</f>
        <v>85.25</v>
      </c>
      <c r="F96" s="458">
        <f>SUM(F82:F95)</f>
        <v>48.412999999999997</v>
      </c>
      <c r="G96" s="458">
        <f>SUM(G82:G95)</f>
        <v>49.387</v>
      </c>
      <c r="H96" s="458">
        <f t="shared" ref="H96:T96" si="15">SUM(H82:H95)</f>
        <v>0.873</v>
      </c>
      <c r="I96" s="458">
        <f t="shared" si="15"/>
        <v>4.4649999999999999</v>
      </c>
      <c r="J96" s="459">
        <f t="shared" si="15"/>
        <v>4.3460000000000001</v>
      </c>
      <c r="K96" s="460">
        <f t="shared" si="15"/>
        <v>2.1350000000000002</v>
      </c>
      <c r="L96" s="457">
        <f t="shared" si="15"/>
        <v>26.376999999999995</v>
      </c>
      <c r="M96" s="458">
        <f t="shared" si="15"/>
        <v>1.7919999999999998</v>
      </c>
      <c r="N96" s="458">
        <f t="shared" si="15"/>
        <v>6.0000000000000001E-3</v>
      </c>
      <c r="O96" s="458">
        <f t="shared" si="15"/>
        <v>1.1500000000000001</v>
      </c>
      <c r="P96" s="458">
        <f t="shared" si="15"/>
        <v>1.7810000000000001</v>
      </c>
      <c r="Q96" s="458">
        <f t="shared" si="15"/>
        <v>0</v>
      </c>
      <c r="R96" s="458">
        <f t="shared" si="15"/>
        <v>0.86099999999999999</v>
      </c>
      <c r="S96" s="458">
        <f t="shared" si="15"/>
        <v>15.65</v>
      </c>
      <c r="T96" s="460">
        <f t="shared" si="15"/>
        <v>1.7700000000000002</v>
      </c>
      <c r="U96" s="464"/>
    </row>
    <row r="97" spans="1:21" x14ac:dyDescent="0.25">
      <c r="A97" s="662" t="s">
        <v>406</v>
      </c>
      <c r="B97" s="663"/>
      <c r="C97" s="663"/>
      <c r="D97" s="664"/>
      <c r="E97" s="570">
        <f>E21+E43+E49</f>
        <v>225.399</v>
      </c>
      <c r="F97" s="571">
        <f t="shared" ref="F97:T97" si="16">F21+F43+F49</f>
        <v>85.115399999999994</v>
      </c>
      <c r="G97" s="571">
        <f t="shared" si="16"/>
        <v>94.620400000000004</v>
      </c>
      <c r="H97" s="571">
        <f t="shared" si="16"/>
        <v>4.8520000000000003</v>
      </c>
      <c r="I97" s="571">
        <f t="shared" si="16"/>
        <v>35.731000000000002</v>
      </c>
      <c r="J97" s="572">
        <f t="shared" si="16"/>
        <v>35.731999999999999</v>
      </c>
      <c r="K97" s="573">
        <f t="shared" si="16"/>
        <v>0.50700000000000001</v>
      </c>
      <c r="L97" s="570">
        <f t="shared" si="16"/>
        <v>53.432999999999993</v>
      </c>
      <c r="M97" s="571">
        <f t="shared" si="16"/>
        <v>9.4619999999999997</v>
      </c>
      <c r="N97" s="571">
        <f t="shared" si="16"/>
        <v>0</v>
      </c>
      <c r="O97" s="571">
        <f t="shared" si="16"/>
        <v>0.91639999999999999</v>
      </c>
      <c r="P97" s="571">
        <f t="shared" si="16"/>
        <v>22.757999999999999</v>
      </c>
      <c r="Q97" s="571">
        <f t="shared" si="16"/>
        <v>0</v>
      </c>
      <c r="R97" s="571">
        <f t="shared" si="16"/>
        <v>6.5149999999999997</v>
      </c>
      <c r="S97" s="571">
        <f t="shared" si="16"/>
        <v>0</v>
      </c>
      <c r="T97" s="573">
        <f t="shared" si="16"/>
        <v>1.536</v>
      </c>
      <c r="U97" s="574"/>
    </row>
    <row r="98" spans="1:21" x14ac:dyDescent="0.25">
      <c r="A98" s="659" t="s">
        <v>407</v>
      </c>
      <c r="B98" s="660"/>
      <c r="C98" s="660"/>
      <c r="D98" s="661"/>
      <c r="E98" s="575">
        <f>E5+E15+E32+E96</f>
        <v>235.904</v>
      </c>
      <c r="F98" s="576">
        <f t="shared" ref="F98:T98" si="17">F5+F15+F32+F96</f>
        <v>93.458999999999989</v>
      </c>
      <c r="G98" s="576">
        <f t="shared" si="17"/>
        <v>106.30200000000001</v>
      </c>
      <c r="H98" s="576">
        <f t="shared" si="17"/>
        <v>5.7380000000000004</v>
      </c>
      <c r="I98" s="576">
        <f t="shared" si="17"/>
        <v>6.899</v>
      </c>
      <c r="J98" s="577">
        <f t="shared" si="17"/>
        <v>6.5140000000000002</v>
      </c>
      <c r="K98" s="578">
        <f t="shared" si="17"/>
        <v>3.0290000000000004</v>
      </c>
      <c r="L98" s="575">
        <f t="shared" si="17"/>
        <v>50.340999999999994</v>
      </c>
      <c r="M98" s="576">
        <f t="shared" si="17"/>
        <v>3.4509999999999996</v>
      </c>
      <c r="N98" s="576">
        <f t="shared" si="17"/>
        <v>0.69899999999999995</v>
      </c>
      <c r="O98" s="576">
        <f t="shared" si="17"/>
        <v>1.5590000000000002</v>
      </c>
      <c r="P98" s="576">
        <f t="shared" si="17"/>
        <v>11.349000000000002</v>
      </c>
      <c r="Q98" s="576">
        <f t="shared" si="17"/>
        <v>0</v>
      </c>
      <c r="R98" s="576">
        <f t="shared" si="17"/>
        <v>8.3210000000000015</v>
      </c>
      <c r="S98" s="576">
        <f t="shared" si="17"/>
        <v>25.997999999999998</v>
      </c>
      <c r="T98" s="578">
        <f t="shared" si="17"/>
        <v>4.3340000000000005</v>
      </c>
      <c r="U98" s="574"/>
    </row>
    <row r="99" spans="1:21" ht="16.5" thickBot="1" x14ac:dyDescent="0.3">
      <c r="A99" s="630" t="s">
        <v>408</v>
      </c>
      <c r="B99" s="631"/>
      <c r="C99" s="631"/>
      <c r="D99" s="632"/>
      <c r="E99" s="457">
        <f>E80</f>
        <v>61.46</v>
      </c>
      <c r="F99" s="458">
        <f t="shared" ref="F99:T99" si="18">F80</f>
        <v>34.950000000000003</v>
      </c>
      <c r="G99" s="458">
        <f t="shared" si="18"/>
        <v>27.364000000000001</v>
      </c>
      <c r="H99" s="458">
        <f t="shared" si="18"/>
        <v>1.31</v>
      </c>
      <c r="I99" s="458">
        <f t="shared" si="18"/>
        <v>0.27</v>
      </c>
      <c r="J99" s="459">
        <f t="shared" si="18"/>
        <v>0.27</v>
      </c>
      <c r="K99" s="460">
        <f t="shared" si="18"/>
        <v>8.879999999999999</v>
      </c>
      <c r="L99" s="457">
        <f t="shared" si="18"/>
        <v>6.5760000000000005</v>
      </c>
      <c r="M99" s="458">
        <f t="shared" si="18"/>
        <v>1.7310000000000003</v>
      </c>
      <c r="N99" s="458">
        <f t="shared" si="18"/>
        <v>0.14000000000000001</v>
      </c>
      <c r="O99" s="458">
        <f t="shared" si="18"/>
        <v>2.48</v>
      </c>
      <c r="P99" s="458">
        <f t="shared" si="18"/>
        <v>2.9389999999999996</v>
      </c>
      <c r="Q99" s="458">
        <f t="shared" si="18"/>
        <v>0</v>
      </c>
      <c r="R99" s="458">
        <f t="shared" si="18"/>
        <v>12.818</v>
      </c>
      <c r="S99" s="458">
        <f t="shared" si="18"/>
        <v>0.5</v>
      </c>
      <c r="T99" s="460">
        <f t="shared" si="18"/>
        <v>0.18</v>
      </c>
      <c r="U99" s="574"/>
    </row>
    <row r="100" spans="1:21" ht="16.5" thickBot="1" x14ac:dyDescent="0.3">
      <c r="A100" s="646" t="s">
        <v>380</v>
      </c>
      <c r="B100" s="647"/>
      <c r="C100" s="647"/>
      <c r="D100" s="648"/>
      <c r="E100" s="515">
        <f>E96+E81+E43+E33+E15+E5</f>
        <v>522.76299999999992</v>
      </c>
      <c r="F100" s="516">
        <f t="shared" ref="F100:T100" si="19">F96+F81+F43+F33+F15+F5</f>
        <v>213.52439999999999</v>
      </c>
      <c r="G100" s="516">
        <f t="shared" si="19"/>
        <v>228.28640000000001</v>
      </c>
      <c r="H100" s="516">
        <f t="shared" si="19"/>
        <v>11.899999999999999</v>
      </c>
      <c r="I100" s="516">
        <f t="shared" si="19"/>
        <v>42.9</v>
      </c>
      <c r="J100" s="517">
        <f t="shared" si="19"/>
        <v>42.515999999999998</v>
      </c>
      <c r="K100" s="518">
        <f t="shared" si="19"/>
        <v>12.415999999999999</v>
      </c>
      <c r="L100" s="515">
        <f>L96+L81+L43+L33+L15+L5</f>
        <v>110.34999999999998</v>
      </c>
      <c r="M100" s="516">
        <f t="shared" si="19"/>
        <v>14.644</v>
      </c>
      <c r="N100" s="516">
        <f t="shared" si="19"/>
        <v>0.83899999999999997</v>
      </c>
      <c r="O100" s="516">
        <f t="shared" si="19"/>
        <v>4.9554000000000009</v>
      </c>
      <c r="P100" s="516">
        <f t="shared" si="19"/>
        <v>37.045999999999999</v>
      </c>
      <c r="Q100" s="516">
        <f t="shared" si="19"/>
        <v>0</v>
      </c>
      <c r="R100" s="516">
        <f t="shared" si="19"/>
        <v>27.654</v>
      </c>
      <c r="S100" s="516">
        <f t="shared" si="19"/>
        <v>26.497999999999998</v>
      </c>
      <c r="T100" s="518">
        <f t="shared" si="19"/>
        <v>6.05</v>
      </c>
      <c r="U100" s="574"/>
    </row>
    <row r="101" spans="1:21" x14ac:dyDescent="0.25">
      <c r="A101" s="593" t="s">
        <v>511</v>
      </c>
      <c r="B101" s="579"/>
      <c r="C101" s="579"/>
      <c r="D101" s="579"/>
      <c r="E101" s="580"/>
      <c r="F101" s="580"/>
      <c r="G101" s="580"/>
      <c r="H101" s="580"/>
      <c r="I101" s="580"/>
      <c r="J101" s="580"/>
      <c r="K101" s="580"/>
      <c r="L101" s="580"/>
      <c r="M101" s="580"/>
      <c r="N101" s="580"/>
      <c r="O101" s="580"/>
      <c r="P101" s="580"/>
      <c r="Q101" s="580"/>
      <c r="R101" s="580"/>
      <c r="S101" s="580"/>
      <c r="T101" s="580"/>
    </row>
    <row r="102" spans="1:21" x14ac:dyDescent="0.25">
      <c r="A102" s="435" t="s">
        <v>512</v>
      </c>
      <c r="B102" s="579"/>
      <c r="C102" s="579"/>
      <c r="D102" s="579"/>
      <c r="E102" s="580"/>
      <c r="F102" s="580"/>
      <c r="G102" s="580"/>
      <c r="H102" s="580"/>
      <c r="I102" s="580"/>
      <c r="J102" s="580"/>
      <c r="K102" s="580"/>
      <c r="L102" s="580"/>
      <c r="M102" s="580"/>
      <c r="N102" s="580"/>
      <c r="O102" s="580"/>
      <c r="P102" s="580"/>
      <c r="Q102" s="580"/>
      <c r="R102" s="580"/>
      <c r="S102" s="580"/>
      <c r="T102" s="580"/>
    </row>
    <row r="103" spans="1:21" x14ac:dyDescent="0.25">
      <c r="A103" s="435" t="s">
        <v>528</v>
      </c>
      <c r="B103" s="579"/>
      <c r="C103" s="579"/>
      <c r="D103" s="579"/>
      <c r="E103" s="580"/>
      <c r="F103" s="580"/>
      <c r="G103" s="580"/>
      <c r="H103" s="580"/>
      <c r="I103" s="580"/>
      <c r="J103" s="580"/>
      <c r="K103" s="580"/>
      <c r="L103" s="580"/>
      <c r="M103" s="580"/>
      <c r="N103" s="580"/>
      <c r="O103" s="580"/>
      <c r="P103" s="580"/>
      <c r="Q103" s="580"/>
      <c r="R103" s="580"/>
      <c r="S103" s="580"/>
      <c r="T103" s="580"/>
    </row>
    <row r="104" spans="1:21" x14ac:dyDescent="0.25">
      <c r="A104" s="617" t="s">
        <v>527</v>
      </c>
      <c r="B104" s="579"/>
      <c r="C104" s="579"/>
      <c r="D104" s="579"/>
      <c r="E104" s="580"/>
      <c r="F104" s="580"/>
      <c r="G104" s="580"/>
      <c r="H104" s="580"/>
      <c r="I104" s="580"/>
      <c r="J104" s="580"/>
      <c r="K104" s="580"/>
      <c r="L104" s="580"/>
      <c r="M104" s="580"/>
      <c r="N104" s="580"/>
      <c r="O104" s="580"/>
      <c r="P104" s="580"/>
      <c r="Q104" s="580"/>
      <c r="R104" s="580"/>
      <c r="S104" s="580"/>
      <c r="T104" s="580"/>
    </row>
    <row r="105" spans="1:21" ht="16.5" thickBot="1" x14ac:dyDescent="0.3">
      <c r="A105" s="435"/>
      <c r="B105" s="579"/>
      <c r="C105" s="579"/>
      <c r="D105" s="579"/>
      <c r="E105" s="580"/>
      <c r="F105" s="580"/>
      <c r="G105" s="580"/>
      <c r="H105" s="580"/>
      <c r="I105" s="580"/>
      <c r="J105" s="580"/>
      <c r="K105" s="580"/>
      <c r="L105" s="580"/>
      <c r="M105" s="580"/>
      <c r="N105" s="580"/>
      <c r="O105" s="580"/>
      <c r="P105" s="580"/>
      <c r="Q105" s="580"/>
      <c r="R105" s="580"/>
      <c r="S105" s="580"/>
      <c r="T105" s="580"/>
    </row>
    <row r="106" spans="1:21" ht="16.5" thickBot="1" x14ac:dyDescent="0.3">
      <c r="A106" s="581"/>
      <c r="E106" s="622" t="s">
        <v>401</v>
      </c>
      <c r="F106" s="623"/>
      <c r="G106" s="624"/>
      <c r="H106" s="583"/>
      <c r="I106" s="583"/>
      <c r="J106" s="583"/>
      <c r="L106" s="622" t="s">
        <v>513</v>
      </c>
      <c r="M106" s="623"/>
      <c r="N106" s="624"/>
      <c r="O106" s="583"/>
      <c r="P106" s="583"/>
      <c r="Q106" s="583"/>
      <c r="R106" s="584"/>
    </row>
    <row r="107" spans="1:21" ht="16.5" thickBot="1" x14ac:dyDescent="0.3">
      <c r="A107" s="581"/>
      <c r="E107" s="653" t="s">
        <v>400</v>
      </c>
      <c r="F107" s="654"/>
      <c r="G107" s="585">
        <f>F100</f>
        <v>213.52439999999999</v>
      </c>
      <c r="L107" s="612" t="s">
        <v>522</v>
      </c>
      <c r="M107" s="607" t="s">
        <v>525</v>
      </c>
      <c r="N107" s="582" t="s">
        <v>526</v>
      </c>
    </row>
    <row r="108" spans="1:21" ht="48" customHeight="1" x14ac:dyDescent="0.25">
      <c r="A108" s="581"/>
      <c r="E108" s="651" t="s">
        <v>399</v>
      </c>
      <c r="F108" s="652"/>
      <c r="G108" s="587">
        <f>G100+K100</f>
        <v>240.70240000000001</v>
      </c>
      <c r="L108" s="613" t="s">
        <v>514</v>
      </c>
      <c r="M108" s="608">
        <f>L100+M100+N100</f>
        <v>125.83299999999998</v>
      </c>
      <c r="N108" s="586">
        <f>M108/$M$112</f>
        <v>0.55181102666065585</v>
      </c>
    </row>
    <row r="109" spans="1:21" x14ac:dyDescent="0.25">
      <c r="E109" s="665" t="s">
        <v>397</v>
      </c>
      <c r="F109" s="666"/>
      <c r="G109" s="587">
        <f>G100</f>
        <v>228.28640000000001</v>
      </c>
      <c r="L109" s="614" t="s">
        <v>515</v>
      </c>
      <c r="M109" s="609">
        <f>P100+Q100+S100+O100</f>
        <v>68.499399999999994</v>
      </c>
      <c r="N109" s="588">
        <f t="shared" ref="N109:N111" si="20">M109/$M$112</f>
        <v>0.30038800823026501</v>
      </c>
    </row>
    <row r="110" spans="1:21" x14ac:dyDescent="0.25">
      <c r="E110" s="665" t="s">
        <v>398</v>
      </c>
      <c r="F110" s="666"/>
      <c r="G110" s="588">
        <f>G109/G108</f>
        <v>0.9484176310664123</v>
      </c>
      <c r="L110" s="614" t="s">
        <v>213</v>
      </c>
      <c r="M110" s="609">
        <f>R100</f>
        <v>27.654</v>
      </c>
      <c r="N110" s="588">
        <f t="shared" si="20"/>
        <v>0.12127011301704466</v>
      </c>
    </row>
    <row r="111" spans="1:21" ht="16.5" thickBot="1" x14ac:dyDescent="0.3">
      <c r="E111" s="649" t="s">
        <v>396</v>
      </c>
      <c r="F111" s="650"/>
      <c r="G111" s="591">
        <f>K100</f>
        <v>12.415999999999999</v>
      </c>
      <c r="I111" s="435" t="s">
        <v>405</v>
      </c>
      <c r="L111" s="615" t="s">
        <v>268</v>
      </c>
      <c r="M111" s="610">
        <f>T100</f>
        <v>6.05</v>
      </c>
      <c r="N111" s="590">
        <f t="shared" si="20"/>
        <v>2.6530852092034429E-2</v>
      </c>
    </row>
    <row r="112" spans="1:21" ht="16.5" thickBot="1" x14ac:dyDescent="0.3">
      <c r="E112" s="435" t="s">
        <v>402</v>
      </c>
      <c r="L112" s="616" t="s">
        <v>516</v>
      </c>
      <c r="M112" s="611">
        <f>SUM(M108:M111)</f>
        <v>228.03639999999999</v>
      </c>
      <c r="N112" s="592">
        <f>SUM(N108:N111)</f>
        <v>1</v>
      </c>
    </row>
    <row r="113" spans="5:5" x14ac:dyDescent="0.25">
      <c r="E113" s="435" t="s">
        <v>403</v>
      </c>
    </row>
  </sheetData>
  <mergeCells count="32">
    <mergeCell ref="E111:F111"/>
    <mergeCell ref="E108:F108"/>
    <mergeCell ref="E107:F107"/>
    <mergeCell ref="E106:G106"/>
    <mergeCell ref="B5:D5"/>
    <mergeCell ref="A33:D33"/>
    <mergeCell ref="A44:A49"/>
    <mergeCell ref="A50:A80"/>
    <mergeCell ref="A82:A96"/>
    <mergeCell ref="B49:D49"/>
    <mergeCell ref="A81:D81"/>
    <mergeCell ref="A99:D99"/>
    <mergeCell ref="A98:D98"/>
    <mergeCell ref="A97:D97"/>
    <mergeCell ref="E109:F109"/>
    <mergeCell ref="E110:F110"/>
    <mergeCell ref="L106:N106"/>
    <mergeCell ref="A1:A2"/>
    <mergeCell ref="U1:U2"/>
    <mergeCell ref="B1:T1"/>
    <mergeCell ref="B32:D32"/>
    <mergeCell ref="A34:A43"/>
    <mergeCell ref="B21:D21"/>
    <mergeCell ref="B15:D15"/>
    <mergeCell ref="B43:D43"/>
    <mergeCell ref="A3:A5"/>
    <mergeCell ref="A6:A15"/>
    <mergeCell ref="A16:A21"/>
    <mergeCell ref="A22:A32"/>
    <mergeCell ref="B80:D80"/>
    <mergeCell ref="B96:D96"/>
    <mergeCell ref="A100:D100"/>
  </mergeCells>
  <pageMargins left="0.7" right="0.7" top="0.75" bottom="0.75" header="0.3" footer="0.3"/>
  <pageSetup paperSize="3" scale="49" fitToHeight="0" orientation="landscape" r:id="rId1"/>
  <rowBreaks count="1" manualBreakCount="1">
    <brk id="49"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91E06-5D3E-48EC-A7F9-EAF733995930}">
  <sheetPr>
    <pageSetUpPr fitToPage="1"/>
  </sheetPr>
  <dimension ref="A1:P114"/>
  <sheetViews>
    <sheetView zoomScale="110" zoomScaleNormal="110" workbookViewId="0">
      <selection activeCell="E16" sqref="E16"/>
    </sheetView>
  </sheetViews>
  <sheetFormatPr defaultColWidth="9.140625" defaultRowHeight="11.25" x14ac:dyDescent="0.2"/>
  <cols>
    <col min="1" max="1" width="17.85546875" style="256" customWidth="1"/>
    <col min="2" max="2" width="30.140625" style="185" bestFit="1" customWidth="1"/>
    <col min="3" max="3" width="11.42578125" style="185" bestFit="1" customWidth="1"/>
    <col min="4" max="4" width="8.7109375" style="185" bestFit="1" customWidth="1"/>
    <col min="5" max="5" width="14.42578125" style="185" bestFit="1" customWidth="1"/>
    <col min="6" max="6" width="9.5703125" style="185" bestFit="1" customWidth="1"/>
    <col min="7" max="7" width="14.28515625" style="185" bestFit="1" customWidth="1"/>
    <col min="8" max="8" width="9.140625" style="185" bestFit="1" customWidth="1"/>
    <col min="9" max="9" width="5.7109375" style="185" bestFit="1" customWidth="1"/>
    <col min="10" max="10" width="8.140625" style="185" bestFit="1" customWidth="1"/>
    <col min="11" max="11" width="11" style="185" bestFit="1" customWidth="1"/>
    <col min="12" max="12" width="4" style="185" bestFit="1" customWidth="1"/>
    <col min="13" max="14" width="7.28515625" style="185" bestFit="1" customWidth="1"/>
    <col min="15" max="15" width="9.140625" style="185" bestFit="1" customWidth="1"/>
    <col min="16" max="16" width="20.5703125" style="185" customWidth="1"/>
    <col min="17" max="16384" width="9.140625" style="185"/>
  </cols>
  <sheetData>
    <row r="1" spans="1:16" ht="12" thickBot="1" x14ac:dyDescent="0.25">
      <c r="A1" s="683" t="s">
        <v>359</v>
      </c>
      <c r="B1" s="685" t="s">
        <v>529</v>
      </c>
      <c r="C1" s="685"/>
      <c r="D1" s="685"/>
      <c r="E1" s="685"/>
      <c r="F1" s="685"/>
      <c r="G1" s="685"/>
      <c r="H1" s="685"/>
      <c r="I1" s="685"/>
      <c r="J1" s="685"/>
      <c r="K1" s="685"/>
      <c r="L1" s="685"/>
      <c r="M1" s="685"/>
      <c r="N1" s="685"/>
      <c r="O1" s="686"/>
    </row>
    <row r="2" spans="1:16" ht="12" thickBot="1" x14ac:dyDescent="0.25">
      <c r="A2" s="684"/>
      <c r="B2" s="264" t="s">
        <v>222</v>
      </c>
      <c r="C2" s="264" t="s">
        <v>368</v>
      </c>
      <c r="D2" s="264" t="s">
        <v>369</v>
      </c>
      <c r="E2" s="264" t="s">
        <v>370</v>
      </c>
      <c r="F2" s="265" t="s">
        <v>373</v>
      </c>
      <c r="G2" s="266" t="s">
        <v>374</v>
      </c>
      <c r="H2" s="264" t="s">
        <v>211</v>
      </c>
      <c r="I2" s="264" t="s">
        <v>375</v>
      </c>
      <c r="J2" s="264" t="s">
        <v>212</v>
      </c>
      <c r="K2" s="264" t="s">
        <v>376</v>
      </c>
      <c r="L2" s="264" t="s">
        <v>377</v>
      </c>
      <c r="M2" s="264" t="s">
        <v>213</v>
      </c>
      <c r="N2" s="264" t="s">
        <v>214</v>
      </c>
      <c r="O2" s="265" t="s">
        <v>215</v>
      </c>
    </row>
    <row r="3" spans="1:16" x14ac:dyDescent="0.2">
      <c r="A3" s="687" t="s">
        <v>415</v>
      </c>
      <c r="B3" s="267" t="s">
        <v>310</v>
      </c>
      <c r="C3" s="268">
        <v>3.8929999999999998</v>
      </c>
      <c r="D3" s="268">
        <f>G3+H3+I3+J3+K3+L3+M3+N3+O3</f>
        <v>3.24</v>
      </c>
      <c r="E3" s="268">
        <v>0</v>
      </c>
      <c r="F3" s="269">
        <v>0.89400000000000002</v>
      </c>
      <c r="G3" s="220">
        <v>2.8180000000000001</v>
      </c>
      <c r="H3" s="268">
        <v>0.17199999999999999</v>
      </c>
      <c r="I3" s="268">
        <v>0</v>
      </c>
      <c r="J3" s="268">
        <v>0</v>
      </c>
      <c r="K3" s="268">
        <v>0</v>
      </c>
      <c r="L3" s="268">
        <v>0</v>
      </c>
      <c r="M3" s="268">
        <v>0.25</v>
      </c>
      <c r="N3" s="268">
        <v>0</v>
      </c>
      <c r="O3" s="269">
        <v>0</v>
      </c>
    </row>
    <row r="4" spans="1:16" ht="12" thickBot="1" x14ac:dyDescent="0.25">
      <c r="A4" s="669"/>
      <c r="B4" s="270" t="s">
        <v>311</v>
      </c>
      <c r="C4" s="252">
        <v>5.0000000000000001E-3</v>
      </c>
      <c r="D4" s="252">
        <v>0</v>
      </c>
      <c r="E4" s="252">
        <v>0</v>
      </c>
      <c r="F4" s="253">
        <v>0</v>
      </c>
      <c r="G4" s="207">
        <v>0</v>
      </c>
      <c r="H4" s="252">
        <v>0</v>
      </c>
      <c r="I4" s="252">
        <v>0</v>
      </c>
      <c r="J4" s="252">
        <v>0</v>
      </c>
      <c r="K4" s="252">
        <v>0</v>
      </c>
      <c r="L4" s="252">
        <v>0</v>
      </c>
      <c r="M4" s="252">
        <v>0</v>
      </c>
      <c r="N4" s="252">
        <v>0</v>
      </c>
      <c r="O4" s="253">
        <v>0</v>
      </c>
    </row>
    <row r="5" spans="1:16" s="198" customFormat="1" ht="12.75" thickTop="1" thickBot="1" x14ac:dyDescent="0.25">
      <c r="A5" s="670"/>
      <c r="B5" s="258" t="s">
        <v>414</v>
      </c>
      <c r="C5" s="193">
        <f t="shared" ref="C5:H5" si="0">SUM(C3:C4)</f>
        <v>3.8979999999999997</v>
      </c>
      <c r="D5" s="193">
        <f t="shared" si="0"/>
        <v>3.24</v>
      </c>
      <c r="E5" s="193">
        <f t="shared" si="0"/>
        <v>0</v>
      </c>
      <c r="F5" s="194">
        <f t="shared" si="0"/>
        <v>0.89400000000000002</v>
      </c>
      <c r="G5" s="192">
        <f t="shared" si="0"/>
        <v>2.8180000000000001</v>
      </c>
      <c r="H5" s="193">
        <f t="shared" si="0"/>
        <v>0.17199999999999999</v>
      </c>
      <c r="I5" s="193">
        <f t="shared" ref="I5:O5" si="1">SUM(I4:I4)</f>
        <v>0</v>
      </c>
      <c r="J5" s="195">
        <f t="shared" si="1"/>
        <v>0</v>
      </c>
      <c r="K5" s="193">
        <f t="shared" si="1"/>
        <v>0</v>
      </c>
      <c r="L5" s="193">
        <f t="shared" si="1"/>
        <v>0</v>
      </c>
      <c r="M5" s="193">
        <f t="shared" si="1"/>
        <v>0</v>
      </c>
      <c r="N5" s="196">
        <f t="shared" si="1"/>
        <v>0</v>
      </c>
      <c r="O5" s="197">
        <f t="shared" si="1"/>
        <v>0</v>
      </c>
    </row>
    <row r="6" spans="1:16" x14ac:dyDescent="0.2">
      <c r="A6" s="668" t="s">
        <v>216</v>
      </c>
      <c r="B6" s="199" t="s">
        <v>354</v>
      </c>
      <c r="C6" s="200">
        <v>0</v>
      </c>
      <c r="D6" s="200">
        <f t="shared" ref="D6:D14" si="2">G6+H6+I6+J6+K6+L6+M6+N6+O6</f>
        <v>5.1829999999999998</v>
      </c>
      <c r="E6" s="200">
        <v>0</v>
      </c>
      <c r="F6" s="201">
        <v>0</v>
      </c>
      <c r="G6" s="186">
        <v>0</v>
      </c>
      <c r="H6" s="200">
        <v>0</v>
      </c>
      <c r="I6" s="200">
        <f>0.693</f>
        <v>0.69299999999999995</v>
      </c>
      <c r="J6" s="200">
        <v>0.30499999999999999</v>
      </c>
      <c r="K6" s="187">
        <v>3.88</v>
      </c>
      <c r="L6" s="200">
        <v>0</v>
      </c>
      <c r="M6" s="200">
        <v>0</v>
      </c>
      <c r="N6" s="200">
        <v>0</v>
      </c>
      <c r="O6" s="188">
        <v>0.30499999999999999</v>
      </c>
      <c r="P6" s="198"/>
    </row>
    <row r="7" spans="1:16" x14ac:dyDescent="0.2">
      <c r="A7" s="669"/>
      <c r="B7" s="202" t="s">
        <v>55</v>
      </c>
      <c r="C7" s="203">
        <v>3.5000000000000003E-2</v>
      </c>
      <c r="D7" s="203">
        <f t="shared" si="2"/>
        <v>3.5000000000000003E-2</v>
      </c>
      <c r="E7" s="203">
        <v>0</v>
      </c>
      <c r="F7" s="204">
        <v>0</v>
      </c>
      <c r="G7" s="205">
        <v>0</v>
      </c>
      <c r="H7" s="203">
        <v>0</v>
      </c>
      <c r="I7" s="203">
        <v>0</v>
      </c>
      <c r="J7" s="203">
        <v>0</v>
      </c>
      <c r="K7" s="203">
        <v>3.5000000000000003E-2</v>
      </c>
      <c r="L7" s="203">
        <v>0</v>
      </c>
      <c r="M7" s="203">
        <v>0</v>
      </c>
      <c r="N7" s="203">
        <v>0</v>
      </c>
      <c r="O7" s="204">
        <v>0</v>
      </c>
    </row>
    <row r="8" spans="1:16" x14ac:dyDescent="0.2">
      <c r="A8" s="669"/>
      <c r="B8" s="202" t="s">
        <v>52</v>
      </c>
      <c r="C8" s="203">
        <v>3.0779999999999998</v>
      </c>
      <c r="D8" s="203">
        <f t="shared" si="2"/>
        <v>3.4380000000000006</v>
      </c>
      <c r="E8" s="203">
        <v>0.36</v>
      </c>
      <c r="F8" s="204">
        <v>0</v>
      </c>
      <c r="G8" s="205">
        <v>2.9220000000000002</v>
      </c>
      <c r="H8" s="203">
        <v>0.34100000000000003</v>
      </c>
      <c r="I8" s="203">
        <v>0</v>
      </c>
      <c r="J8" s="203">
        <v>0</v>
      </c>
      <c r="K8" s="203">
        <v>0.16400000000000001</v>
      </c>
      <c r="L8" s="203">
        <v>0</v>
      </c>
      <c r="M8" s="203">
        <v>1.0999999999999999E-2</v>
      </c>
      <c r="N8" s="203">
        <v>0</v>
      </c>
      <c r="O8" s="204">
        <v>0</v>
      </c>
    </row>
    <row r="9" spans="1:16" x14ac:dyDescent="0.2">
      <c r="A9" s="669"/>
      <c r="B9" s="202" t="s">
        <v>207</v>
      </c>
      <c r="C9" s="203">
        <v>0.51900000000000002</v>
      </c>
      <c r="D9" s="203">
        <f t="shared" si="2"/>
        <v>0.42899999999999999</v>
      </c>
      <c r="E9" s="203">
        <v>0.22700000000000001</v>
      </c>
      <c r="F9" s="204">
        <v>0</v>
      </c>
      <c r="G9" s="205">
        <v>0.41799999999999998</v>
      </c>
      <c r="H9" s="203">
        <v>0</v>
      </c>
      <c r="I9" s="203">
        <v>0</v>
      </c>
      <c r="J9" s="203">
        <v>0</v>
      </c>
      <c r="K9" s="203">
        <v>1.0999999999999999E-2</v>
      </c>
      <c r="L9" s="203">
        <v>0</v>
      </c>
      <c r="M9" s="203">
        <v>0</v>
      </c>
      <c r="N9" s="203">
        <v>0</v>
      </c>
      <c r="O9" s="204">
        <v>0</v>
      </c>
    </row>
    <row r="10" spans="1:16" x14ac:dyDescent="0.2">
      <c r="A10" s="669"/>
      <c r="B10" s="202" t="s">
        <v>48</v>
      </c>
      <c r="C10" s="203">
        <v>0.73699999999999999</v>
      </c>
      <c r="D10" s="203">
        <f t="shared" si="2"/>
        <v>0.75500000000000012</v>
      </c>
      <c r="E10" s="203">
        <v>1.7999999999999999E-2</v>
      </c>
      <c r="F10" s="204">
        <v>0</v>
      </c>
      <c r="G10" s="205">
        <v>0.68200000000000005</v>
      </c>
      <c r="H10" s="203">
        <v>0</v>
      </c>
      <c r="I10" s="203">
        <v>0</v>
      </c>
      <c r="J10" s="203">
        <v>4.0000000000000001E-3</v>
      </c>
      <c r="K10" s="203">
        <v>6.9000000000000006E-2</v>
      </c>
      <c r="L10" s="203">
        <v>0</v>
      </c>
      <c r="M10" s="203">
        <v>0</v>
      </c>
      <c r="N10" s="203">
        <v>0</v>
      </c>
      <c r="O10" s="204">
        <v>0</v>
      </c>
    </row>
    <row r="11" spans="1:16" x14ac:dyDescent="0.2">
      <c r="A11" s="669"/>
      <c r="B11" s="202" t="s">
        <v>57</v>
      </c>
      <c r="C11" s="203">
        <v>0.59899999999999998</v>
      </c>
      <c r="D11" s="203">
        <f t="shared" si="2"/>
        <v>0.55500000000000005</v>
      </c>
      <c r="E11" s="203">
        <v>0</v>
      </c>
      <c r="F11" s="204">
        <v>0</v>
      </c>
      <c r="G11" s="205">
        <v>0.30499999999999999</v>
      </c>
      <c r="H11" s="203">
        <v>0</v>
      </c>
      <c r="I11" s="203">
        <v>0</v>
      </c>
      <c r="J11" s="203">
        <v>0</v>
      </c>
      <c r="K11" s="203">
        <v>0.222</v>
      </c>
      <c r="L11" s="203">
        <v>0</v>
      </c>
      <c r="M11" s="203">
        <v>8.0000000000000002E-3</v>
      </c>
      <c r="N11" s="203">
        <v>0</v>
      </c>
      <c r="O11" s="204">
        <v>2.0000000000000004E-2</v>
      </c>
    </row>
    <row r="12" spans="1:16" x14ac:dyDescent="0.2">
      <c r="A12" s="669"/>
      <c r="B12" s="202" t="s">
        <v>65</v>
      </c>
      <c r="C12" s="203">
        <v>0.34200000000000003</v>
      </c>
      <c r="D12" s="203">
        <f t="shared" si="2"/>
        <v>0.34200000000000003</v>
      </c>
      <c r="E12" s="203">
        <v>0</v>
      </c>
      <c r="F12" s="204">
        <v>0</v>
      </c>
      <c r="G12" s="205">
        <v>0</v>
      </c>
      <c r="H12" s="203">
        <v>0</v>
      </c>
      <c r="I12" s="203">
        <v>0</v>
      </c>
      <c r="J12" s="203">
        <v>0</v>
      </c>
      <c r="K12" s="203">
        <v>0.34200000000000003</v>
      </c>
      <c r="L12" s="203">
        <v>0</v>
      </c>
      <c r="M12" s="203">
        <v>0</v>
      </c>
      <c r="N12" s="203">
        <v>0</v>
      </c>
      <c r="O12" s="204">
        <v>0</v>
      </c>
    </row>
    <row r="13" spans="1:16" x14ac:dyDescent="0.2">
      <c r="A13" s="669"/>
      <c r="B13" s="202" t="s">
        <v>63</v>
      </c>
      <c r="C13" s="203">
        <v>1.2E-2</v>
      </c>
      <c r="D13" s="203">
        <f t="shared" si="2"/>
        <v>1.2E-2</v>
      </c>
      <c r="E13" s="203">
        <v>0</v>
      </c>
      <c r="F13" s="204">
        <v>0</v>
      </c>
      <c r="G13" s="205">
        <v>0</v>
      </c>
      <c r="H13" s="203">
        <v>1.2E-2</v>
      </c>
      <c r="I13" s="203">
        <v>0</v>
      </c>
      <c r="J13" s="203">
        <v>0</v>
      </c>
      <c r="K13" s="203">
        <v>0</v>
      </c>
      <c r="L13" s="203">
        <v>0</v>
      </c>
      <c r="M13" s="203">
        <v>0</v>
      </c>
      <c r="N13" s="203">
        <v>0</v>
      </c>
      <c r="O13" s="204">
        <v>0</v>
      </c>
    </row>
    <row r="14" spans="1:16" ht="12" thickBot="1" x14ac:dyDescent="0.25">
      <c r="A14" s="669"/>
      <c r="B14" s="206" t="s">
        <v>60</v>
      </c>
      <c r="C14" s="208">
        <v>0.78500000000000003</v>
      </c>
      <c r="D14" s="208">
        <f t="shared" si="2"/>
        <v>0.78500000000000003</v>
      </c>
      <c r="E14" s="208">
        <v>0</v>
      </c>
      <c r="F14" s="209">
        <v>0</v>
      </c>
      <c r="G14" s="210">
        <v>0</v>
      </c>
      <c r="H14" s="208">
        <v>0</v>
      </c>
      <c r="I14" s="208">
        <v>0</v>
      </c>
      <c r="J14" s="208">
        <v>0</v>
      </c>
      <c r="K14" s="208">
        <v>0.78500000000000003</v>
      </c>
      <c r="L14" s="208">
        <v>0</v>
      </c>
      <c r="M14" s="208">
        <v>0</v>
      </c>
      <c r="N14" s="208">
        <v>0</v>
      </c>
      <c r="O14" s="209">
        <v>0</v>
      </c>
    </row>
    <row r="15" spans="1:16" s="198" customFormat="1" ht="12.75" thickTop="1" thickBot="1" x14ac:dyDescent="0.25">
      <c r="A15" s="670"/>
      <c r="B15" s="259" t="s">
        <v>411</v>
      </c>
      <c r="C15" s="193">
        <f>SUM(C6:C14)</f>
        <v>6.1069999999999993</v>
      </c>
      <c r="D15" s="193">
        <f>SUM(D6:D14)</f>
        <v>11.534000000000002</v>
      </c>
      <c r="E15" s="193">
        <f t="shared" ref="E15:O15" si="3">SUM(E6:E14)</f>
        <v>0.60499999999999998</v>
      </c>
      <c r="F15" s="194">
        <f t="shared" si="3"/>
        <v>0</v>
      </c>
      <c r="G15" s="192">
        <f t="shared" si="3"/>
        <v>4.327</v>
      </c>
      <c r="H15" s="193">
        <f t="shared" si="3"/>
        <v>0.35300000000000004</v>
      </c>
      <c r="I15" s="193">
        <f t="shared" si="3"/>
        <v>0.69299999999999995</v>
      </c>
      <c r="J15" s="193">
        <f t="shared" si="3"/>
        <v>0.309</v>
      </c>
      <c r="K15" s="193">
        <f t="shared" si="3"/>
        <v>5.508</v>
      </c>
      <c r="L15" s="193">
        <f t="shared" si="3"/>
        <v>0</v>
      </c>
      <c r="M15" s="193">
        <f t="shared" si="3"/>
        <v>1.9E-2</v>
      </c>
      <c r="N15" s="193">
        <f t="shared" si="3"/>
        <v>0</v>
      </c>
      <c r="O15" s="194">
        <f t="shared" si="3"/>
        <v>0.32500000000000001</v>
      </c>
    </row>
    <row r="16" spans="1:16" x14ac:dyDescent="0.2">
      <c r="A16" s="668" t="s">
        <v>218</v>
      </c>
      <c r="B16" s="199" t="s">
        <v>355</v>
      </c>
      <c r="C16" s="200">
        <v>0</v>
      </c>
      <c r="D16" s="200">
        <f t="shared" ref="D16:D31" si="4">G16+H16+I16+J16+K16+L16+M16+N16+O16</f>
        <v>26.805</v>
      </c>
      <c r="E16" s="200">
        <f>3.47</f>
        <v>3.47</v>
      </c>
      <c r="F16" s="201">
        <v>0</v>
      </c>
      <c r="G16" s="186">
        <v>16.332000000000001</v>
      </c>
      <c r="H16" s="200">
        <v>1.4790000000000001</v>
      </c>
      <c r="I16" s="200">
        <v>0</v>
      </c>
      <c r="J16" s="200">
        <v>0</v>
      </c>
      <c r="K16" s="187">
        <v>8.9939999999999998</v>
      </c>
      <c r="L16" s="200">
        <v>0</v>
      </c>
      <c r="M16" s="200">
        <v>0</v>
      </c>
      <c r="N16" s="200">
        <v>0</v>
      </c>
      <c r="O16" s="201">
        <v>0</v>
      </c>
      <c r="P16" s="198"/>
    </row>
    <row r="17" spans="1:16" x14ac:dyDescent="0.2">
      <c r="A17" s="669"/>
      <c r="B17" s="212" t="s">
        <v>345</v>
      </c>
      <c r="C17" s="203">
        <v>14.196</v>
      </c>
      <c r="D17" s="203">
        <f t="shared" si="4"/>
        <v>3.6340000000000003</v>
      </c>
      <c r="E17" s="203">
        <v>0</v>
      </c>
      <c r="F17" s="204">
        <v>0</v>
      </c>
      <c r="G17" s="205">
        <f>0.113+2.717</f>
        <v>2.83</v>
      </c>
      <c r="H17" s="203">
        <v>0.80400000000000005</v>
      </c>
      <c r="I17" s="203">
        <v>0</v>
      </c>
      <c r="J17" s="203">
        <v>0</v>
      </c>
      <c r="K17" s="203">
        <v>0</v>
      </c>
      <c r="L17" s="203">
        <v>0</v>
      </c>
      <c r="M17" s="203">
        <v>0</v>
      </c>
      <c r="N17" s="203">
        <v>0</v>
      </c>
      <c r="O17" s="204">
        <v>0</v>
      </c>
      <c r="P17" s="198"/>
    </row>
    <row r="18" spans="1:16" x14ac:dyDescent="0.2">
      <c r="A18" s="669"/>
      <c r="B18" s="212" t="s">
        <v>352</v>
      </c>
      <c r="C18" s="203">
        <v>23.975999999999999</v>
      </c>
      <c r="D18" s="203">
        <f t="shared" si="4"/>
        <v>8.6329999999999991</v>
      </c>
      <c r="E18" s="203">
        <v>0</v>
      </c>
      <c r="F18" s="204">
        <v>0</v>
      </c>
      <c r="G18" s="205">
        <f>1.592+3.813</f>
        <v>5.4050000000000002</v>
      </c>
      <c r="H18" s="203">
        <v>2.105</v>
      </c>
      <c r="I18" s="203">
        <v>0</v>
      </c>
      <c r="J18" s="203">
        <v>0.30499999999999999</v>
      </c>
      <c r="K18" s="203">
        <v>0</v>
      </c>
      <c r="L18" s="203">
        <v>0</v>
      </c>
      <c r="M18" s="203">
        <f>0.803+0.015</f>
        <v>0.81800000000000006</v>
      </c>
      <c r="N18" s="203">
        <v>0</v>
      </c>
      <c r="O18" s="204">
        <v>0</v>
      </c>
      <c r="P18" s="198"/>
    </row>
    <row r="19" spans="1:16" x14ac:dyDescent="0.2">
      <c r="A19" s="669"/>
      <c r="B19" s="212" t="s">
        <v>34</v>
      </c>
      <c r="C19" s="203">
        <v>5.39</v>
      </c>
      <c r="D19" s="203">
        <f t="shared" si="4"/>
        <v>13.299999999999999</v>
      </c>
      <c r="E19" s="203">
        <v>0.44</v>
      </c>
      <c r="F19" s="204">
        <v>0</v>
      </c>
      <c r="G19" s="205">
        <f>6.36+6.84</f>
        <v>13.2</v>
      </c>
      <c r="H19" s="203">
        <v>0.06</v>
      </c>
      <c r="I19" s="203">
        <v>0</v>
      </c>
      <c r="J19" s="203">
        <v>0</v>
      </c>
      <c r="K19" s="203">
        <v>0.04</v>
      </c>
      <c r="L19" s="203">
        <v>0</v>
      </c>
      <c r="M19" s="203">
        <v>0</v>
      </c>
      <c r="N19" s="203">
        <v>0</v>
      </c>
      <c r="O19" s="204">
        <v>0</v>
      </c>
      <c r="P19" s="198"/>
    </row>
    <row r="20" spans="1:16" ht="12" thickBot="1" x14ac:dyDescent="0.25">
      <c r="A20" s="669"/>
      <c r="B20" s="215" t="s">
        <v>37</v>
      </c>
      <c r="C20" s="208">
        <v>11.257999999999999</v>
      </c>
      <c r="D20" s="208">
        <f t="shared" si="4"/>
        <v>11.305999999999999</v>
      </c>
      <c r="E20" s="208">
        <v>0.05</v>
      </c>
      <c r="F20" s="209">
        <v>0</v>
      </c>
      <c r="G20" s="210">
        <v>0</v>
      </c>
      <c r="H20" s="208">
        <v>0.752</v>
      </c>
      <c r="I20" s="208">
        <v>0</v>
      </c>
      <c r="J20" s="208">
        <v>0</v>
      </c>
      <c r="K20" s="208">
        <v>5.8</v>
      </c>
      <c r="L20" s="208">
        <v>0</v>
      </c>
      <c r="M20" s="208">
        <v>3.218</v>
      </c>
      <c r="N20" s="208">
        <v>0</v>
      </c>
      <c r="O20" s="209">
        <v>1.536</v>
      </c>
      <c r="P20" s="198"/>
    </row>
    <row r="21" spans="1:16" ht="12.75" thickTop="1" thickBot="1" x14ac:dyDescent="0.25">
      <c r="A21" s="670"/>
      <c r="B21" s="259" t="s">
        <v>360</v>
      </c>
      <c r="C21" s="216">
        <f t="shared" ref="C21:O21" si="5">SUM(C16:C20)</f>
        <v>54.819999999999993</v>
      </c>
      <c r="D21" s="216">
        <f t="shared" si="5"/>
        <v>63.677999999999997</v>
      </c>
      <c r="E21" s="216">
        <f t="shared" si="5"/>
        <v>3.96</v>
      </c>
      <c r="F21" s="217">
        <f t="shared" si="5"/>
        <v>0</v>
      </c>
      <c r="G21" s="218">
        <f t="shared" si="5"/>
        <v>37.766999999999996</v>
      </c>
      <c r="H21" s="216">
        <f t="shared" si="5"/>
        <v>5.1999999999999993</v>
      </c>
      <c r="I21" s="216">
        <f t="shared" si="5"/>
        <v>0</v>
      </c>
      <c r="J21" s="216">
        <f t="shared" si="5"/>
        <v>0.30499999999999999</v>
      </c>
      <c r="K21" s="216">
        <f t="shared" si="5"/>
        <v>14.834</v>
      </c>
      <c r="L21" s="216">
        <f t="shared" si="5"/>
        <v>0</v>
      </c>
      <c r="M21" s="216">
        <f t="shared" si="5"/>
        <v>4.0359999999999996</v>
      </c>
      <c r="N21" s="216">
        <f t="shared" si="5"/>
        <v>0</v>
      </c>
      <c r="O21" s="217">
        <f t="shared" si="5"/>
        <v>1.536</v>
      </c>
      <c r="P21" s="198"/>
    </row>
    <row r="22" spans="1:16" x14ac:dyDescent="0.2">
      <c r="A22" s="668" t="s">
        <v>217</v>
      </c>
      <c r="B22" s="219" t="s">
        <v>74</v>
      </c>
      <c r="C22" s="200">
        <v>2.915</v>
      </c>
      <c r="D22" s="200">
        <f t="shared" si="4"/>
        <v>6.5419999999999998</v>
      </c>
      <c r="E22" s="200">
        <v>2.06</v>
      </c>
      <c r="F22" s="201">
        <v>0</v>
      </c>
      <c r="G22" s="221">
        <v>4.2949999999999999</v>
      </c>
      <c r="H22" s="200">
        <v>0</v>
      </c>
      <c r="I22" s="200">
        <v>0</v>
      </c>
      <c r="J22" s="200">
        <v>0</v>
      </c>
      <c r="K22" s="200">
        <v>0</v>
      </c>
      <c r="L22" s="200">
        <v>0</v>
      </c>
      <c r="M22" s="200">
        <v>3.7999999999999999E-2</v>
      </c>
      <c r="N22" s="200">
        <v>0</v>
      </c>
      <c r="O22" s="201">
        <v>2.2090000000000001</v>
      </c>
    </row>
    <row r="23" spans="1:16" x14ac:dyDescent="0.2">
      <c r="A23" s="669"/>
      <c r="B23" s="202" t="s">
        <v>79</v>
      </c>
      <c r="C23" s="203">
        <v>0.13800000000000001</v>
      </c>
      <c r="D23" s="203">
        <f t="shared" si="4"/>
        <v>0.13800000000000001</v>
      </c>
      <c r="E23" s="203">
        <v>0</v>
      </c>
      <c r="F23" s="204">
        <v>0</v>
      </c>
      <c r="G23" s="205">
        <v>0</v>
      </c>
      <c r="H23" s="203">
        <v>0.13800000000000001</v>
      </c>
      <c r="I23" s="203">
        <v>0</v>
      </c>
      <c r="J23" s="203">
        <v>0</v>
      </c>
      <c r="K23" s="203">
        <v>0</v>
      </c>
      <c r="L23" s="203">
        <v>0</v>
      </c>
      <c r="M23" s="203">
        <v>0</v>
      </c>
      <c r="N23" s="203">
        <v>0</v>
      </c>
      <c r="O23" s="204">
        <v>0</v>
      </c>
    </row>
    <row r="24" spans="1:16" x14ac:dyDescent="0.2">
      <c r="A24" s="669"/>
      <c r="B24" s="202" t="s">
        <v>82</v>
      </c>
      <c r="C24" s="203">
        <v>4.2999999999999997E-2</v>
      </c>
      <c r="D24" s="203">
        <f t="shared" si="4"/>
        <v>4.2999999999999997E-2</v>
      </c>
      <c r="E24" s="203">
        <v>0</v>
      </c>
      <c r="F24" s="204">
        <v>0</v>
      </c>
      <c r="G24" s="205">
        <v>0</v>
      </c>
      <c r="H24" s="203">
        <v>0</v>
      </c>
      <c r="I24" s="203">
        <v>0</v>
      </c>
      <c r="J24" s="203">
        <v>0</v>
      </c>
      <c r="K24" s="203">
        <v>4.2999999999999997E-2</v>
      </c>
      <c r="L24" s="203">
        <v>0</v>
      </c>
      <c r="M24" s="203">
        <v>0</v>
      </c>
      <c r="N24" s="203">
        <v>0</v>
      </c>
      <c r="O24" s="204">
        <v>0</v>
      </c>
    </row>
    <row r="25" spans="1:16" x14ac:dyDescent="0.2">
      <c r="A25" s="669"/>
      <c r="B25" s="202" t="s">
        <v>71</v>
      </c>
      <c r="C25" s="203">
        <v>1.7</v>
      </c>
      <c r="D25" s="203">
        <f t="shared" si="4"/>
        <v>4.1429999999999998</v>
      </c>
      <c r="E25" s="203">
        <v>0</v>
      </c>
      <c r="F25" s="204">
        <v>0</v>
      </c>
      <c r="G25" s="205">
        <v>4.0030000000000001</v>
      </c>
      <c r="H25" s="203">
        <v>0.04</v>
      </c>
      <c r="I25" s="203">
        <v>0</v>
      </c>
      <c r="J25" s="203">
        <v>0.1</v>
      </c>
      <c r="K25" s="203">
        <v>0</v>
      </c>
      <c r="L25" s="203">
        <v>0</v>
      </c>
      <c r="M25" s="203">
        <v>0</v>
      </c>
      <c r="N25" s="203">
        <v>0</v>
      </c>
      <c r="O25" s="204">
        <v>0</v>
      </c>
    </row>
    <row r="26" spans="1:16" x14ac:dyDescent="0.2">
      <c r="A26" s="669"/>
      <c r="B26" s="202" t="s">
        <v>85</v>
      </c>
      <c r="C26" s="203">
        <v>0.1</v>
      </c>
      <c r="D26" s="203">
        <f t="shared" si="4"/>
        <v>0.10100000000000001</v>
      </c>
      <c r="E26" s="203">
        <v>0</v>
      </c>
      <c r="F26" s="204">
        <v>0</v>
      </c>
      <c r="G26" s="205">
        <v>0</v>
      </c>
      <c r="H26" s="203">
        <v>0</v>
      </c>
      <c r="I26" s="203">
        <v>0</v>
      </c>
      <c r="J26" s="203">
        <v>0</v>
      </c>
      <c r="K26" s="203">
        <v>0.10100000000000001</v>
      </c>
      <c r="L26" s="203">
        <v>0</v>
      </c>
      <c r="M26" s="203">
        <v>0</v>
      </c>
      <c r="N26" s="203">
        <v>0</v>
      </c>
      <c r="O26" s="204">
        <v>0</v>
      </c>
    </row>
    <row r="27" spans="1:16" x14ac:dyDescent="0.2">
      <c r="A27" s="669"/>
      <c r="B27" s="202" t="s">
        <v>88</v>
      </c>
      <c r="C27" s="203">
        <v>0.222</v>
      </c>
      <c r="D27" s="203">
        <f t="shared" si="4"/>
        <v>0.222</v>
      </c>
      <c r="E27" s="203">
        <v>0</v>
      </c>
      <c r="F27" s="204">
        <v>0</v>
      </c>
      <c r="G27" s="205">
        <v>0</v>
      </c>
      <c r="H27" s="203">
        <v>0.222</v>
      </c>
      <c r="I27" s="203">
        <v>0</v>
      </c>
      <c r="J27" s="203">
        <v>0</v>
      </c>
      <c r="K27" s="203">
        <v>0</v>
      </c>
      <c r="L27" s="203">
        <v>0</v>
      </c>
      <c r="M27" s="203">
        <v>0</v>
      </c>
      <c r="N27" s="203">
        <v>0</v>
      </c>
      <c r="O27" s="204">
        <v>0</v>
      </c>
    </row>
    <row r="28" spans="1:16" x14ac:dyDescent="0.2">
      <c r="A28" s="669"/>
      <c r="B28" s="202" t="s">
        <v>68</v>
      </c>
      <c r="C28" s="203">
        <v>3.89</v>
      </c>
      <c r="D28" s="203">
        <f t="shared" si="4"/>
        <v>2.93</v>
      </c>
      <c r="E28" s="203">
        <v>0</v>
      </c>
      <c r="F28" s="204">
        <v>0</v>
      </c>
      <c r="G28" s="205">
        <v>1.6</v>
      </c>
      <c r="H28" s="203">
        <v>0.6</v>
      </c>
      <c r="I28" s="203">
        <v>0</v>
      </c>
      <c r="J28" s="203">
        <v>0</v>
      </c>
      <c r="K28" s="203">
        <v>0.73</v>
      </c>
      <c r="L28" s="203">
        <v>0</v>
      </c>
      <c r="M28" s="203">
        <v>0</v>
      </c>
      <c r="N28" s="203">
        <v>0</v>
      </c>
      <c r="O28" s="204">
        <v>0</v>
      </c>
    </row>
    <row r="29" spans="1:16" x14ac:dyDescent="0.2">
      <c r="A29" s="669"/>
      <c r="B29" s="202" t="s">
        <v>77</v>
      </c>
      <c r="C29" s="203">
        <v>0.51300000000000001</v>
      </c>
      <c r="D29" s="203">
        <f t="shared" si="4"/>
        <v>0.27</v>
      </c>
      <c r="E29" s="203">
        <v>0</v>
      </c>
      <c r="F29" s="204">
        <v>0</v>
      </c>
      <c r="G29" s="205">
        <v>0.13300000000000001</v>
      </c>
      <c r="H29" s="203">
        <v>0.13400000000000001</v>
      </c>
      <c r="I29" s="203">
        <v>0</v>
      </c>
      <c r="J29" s="203">
        <v>0</v>
      </c>
      <c r="K29" s="203">
        <v>0</v>
      </c>
      <c r="L29" s="203">
        <v>0</v>
      </c>
      <c r="M29" s="203">
        <v>3.0000000000000001E-3</v>
      </c>
      <c r="N29" s="203">
        <v>0</v>
      </c>
      <c r="O29" s="204">
        <v>0</v>
      </c>
    </row>
    <row r="30" spans="1:16" x14ac:dyDescent="0.2">
      <c r="A30" s="669"/>
      <c r="B30" s="222" t="s">
        <v>35</v>
      </c>
      <c r="C30" s="203">
        <v>19.559999999999999</v>
      </c>
      <c r="D30" s="203">
        <f t="shared" si="4"/>
        <v>21.764000000000003</v>
      </c>
      <c r="E30" s="203">
        <v>2.2000000000000002</v>
      </c>
      <c r="F30" s="204">
        <v>0</v>
      </c>
      <c r="G30" s="205">
        <v>4.5960000000000001</v>
      </c>
      <c r="H30" s="203">
        <v>0</v>
      </c>
      <c r="I30" s="203">
        <v>0</v>
      </c>
      <c r="J30" s="203">
        <v>0</v>
      </c>
      <c r="K30" s="203">
        <v>2.4500000000000002</v>
      </c>
      <c r="L30" s="203">
        <v>0</v>
      </c>
      <c r="M30" s="203">
        <v>7.4</v>
      </c>
      <c r="N30" s="203">
        <v>7.3179999999999996</v>
      </c>
      <c r="O30" s="204">
        <v>0</v>
      </c>
      <c r="P30" s="223"/>
    </row>
    <row r="31" spans="1:16" ht="12" thickBot="1" x14ac:dyDescent="0.25">
      <c r="A31" s="669"/>
      <c r="B31" s="206" t="s">
        <v>36</v>
      </c>
      <c r="C31" s="208">
        <v>5.96</v>
      </c>
      <c r="D31" s="208">
        <f t="shared" si="4"/>
        <v>5.9880000000000004</v>
      </c>
      <c r="E31" s="208">
        <v>0</v>
      </c>
      <c r="F31" s="209">
        <v>0</v>
      </c>
      <c r="G31" s="210">
        <v>2.1920000000000002</v>
      </c>
      <c r="H31" s="208">
        <v>0</v>
      </c>
      <c r="I31" s="208">
        <v>0</v>
      </c>
      <c r="J31" s="208">
        <v>0</v>
      </c>
      <c r="K31" s="208">
        <v>0.73599999999999999</v>
      </c>
      <c r="L31" s="208">
        <v>0</v>
      </c>
      <c r="M31" s="208">
        <v>0</v>
      </c>
      <c r="N31" s="208">
        <v>3.03</v>
      </c>
      <c r="O31" s="209">
        <v>0.03</v>
      </c>
    </row>
    <row r="32" spans="1:16" ht="12.75" thickTop="1" thickBot="1" x14ac:dyDescent="0.25">
      <c r="A32" s="671"/>
      <c r="B32" s="259" t="s">
        <v>361</v>
      </c>
      <c r="C32" s="225">
        <f t="shared" ref="C32:O32" si="6">SUM(C22:C31)</f>
        <v>35.040999999999997</v>
      </c>
      <c r="D32" s="225">
        <f t="shared" si="6"/>
        <v>42.141000000000005</v>
      </c>
      <c r="E32" s="225">
        <f t="shared" si="6"/>
        <v>4.26</v>
      </c>
      <c r="F32" s="226">
        <f t="shared" si="6"/>
        <v>0</v>
      </c>
      <c r="G32" s="224">
        <f t="shared" si="6"/>
        <v>16.818999999999999</v>
      </c>
      <c r="H32" s="225">
        <f t="shared" si="6"/>
        <v>1.1339999999999999</v>
      </c>
      <c r="I32" s="225">
        <f t="shared" si="6"/>
        <v>0</v>
      </c>
      <c r="J32" s="225">
        <f t="shared" si="6"/>
        <v>0.1</v>
      </c>
      <c r="K32" s="225">
        <f t="shared" si="6"/>
        <v>4.0600000000000005</v>
      </c>
      <c r="L32" s="225">
        <f t="shared" si="6"/>
        <v>0</v>
      </c>
      <c r="M32" s="225">
        <f t="shared" si="6"/>
        <v>7.4410000000000007</v>
      </c>
      <c r="N32" s="225">
        <f t="shared" si="6"/>
        <v>10.347999999999999</v>
      </c>
      <c r="O32" s="226">
        <f t="shared" si="6"/>
        <v>2.2389999999999999</v>
      </c>
    </row>
    <row r="33" spans="1:16" ht="12" thickBot="1" x14ac:dyDescent="0.25">
      <c r="A33" s="672" t="s">
        <v>412</v>
      </c>
      <c r="B33" s="673"/>
      <c r="C33" s="228">
        <f t="shared" ref="C33:O33" si="7">C21+C32</f>
        <v>89.86099999999999</v>
      </c>
      <c r="D33" s="228">
        <f t="shared" si="7"/>
        <v>105.819</v>
      </c>
      <c r="E33" s="228">
        <f t="shared" si="7"/>
        <v>8.2199999999999989</v>
      </c>
      <c r="F33" s="229">
        <f t="shared" si="7"/>
        <v>0</v>
      </c>
      <c r="G33" s="227">
        <f t="shared" si="7"/>
        <v>54.585999999999999</v>
      </c>
      <c r="H33" s="228">
        <f t="shared" si="7"/>
        <v>6.3339999999999996</v>
      </c>
      <c r="I33" s="228">
        <f t="shared" si="7"/>
        <v>0</v>
      </c>
      <c r="J33" s="228">
        <f t="shared" si="7"/>
        <v>0.40500000000000003</v>
      </c>
      <c r="K33" s="228">
        <f t="shared" si="7"/>
        <v>18.893999999999998</v>
      </c>
      <c r="L33" s="228">
        <f t="shared" si="7"/>
        <v>0</v>
      </c>
      <c r="M33" s="228">
        <f t="shared" si="7"/>
        <v>11.477</v>
      </c>
      <c r="N33" s="228">
        <f t="shared" si="7"/>
        <v>10.347999999999999</v>
      </c>
      <c r="O33" s="229">
        <f t="shared" si="7"/>
        <v>3.7749999999999999</v>
      </c>
    </row>
    <row r="34" spans="1:16" x14ac:dyDescent="0.2">
      <c r="A34" s="674" t="s">
        <v>219</v>
      </c>
      <c r="B34" s="260" t="s">
        <v>315</v>
      </c>
      <c r="C34" s="230">
        <v>0.15</v>
      </c>
      <c r="D34" s="230">
        <f>G34+H34+I34+J34+K34+L34+M34+N34+O34</f>
        <v>0.15</v>
      </c>
      <c r="E34" s="230">
        <v>0</v>
      </c>
      <c r="F34" s="231">
        <v>0</v>
      </c>
      <c r="G34" s="232">
        <f>0.05+0.01</f>
        <v>6.0000000000000005E-2</v>
      </c>
      <c r="H34" s="230">
        <v>0.09</v>
      </c>
      <c r="I34" s="230">
        <v>0</v>
      </c>
      <c r="J34" s="230">
        <v>0</v>
      </c>
      <c r="K34" s="230">
        <v>0</v>
      </c>
      <c r="L34" s="230">
        <v>0</v>
      </c>
      <c r="M34" s="230">
        <v>0</v>
      </c>
      <c r="N34" s="230">
        <v>0</v>
      </c>
      <c r="O34" s="231">
        <v>0</v>
      </c>
      <c r="P34" s="198"/>
    </row>
    <row r="35" spans="1:16" x14ac:dyDescent="0.2">
      <c r="A35" s="675"/>
      <c r="B35" s="261" t="s">
        <v>39</v>
      </c>
      <c r="C35" s="200">
        <v>11.615</v>
      </c>
      <c r="D35" s="200">
        <f>G35+H35+I35+J35+K35+L35+M35+N35+O35</f>
        <v>16.407</v>
      </c>
      <c r="E35" s="233">
        <v>0</v>
      </c>
      <c r="F35" s="201">
        <v>0</v>
      </c>
      <c r="G35" s="234">
        <f>1.902+2.231</f>
        <v>4.133</v>
      </c>
      <c r="H35" s="233">
        <v>3.2679999999999998</v>
      </c>
      <c r="I35" s="200">
        <v>0</v>
      </c>
      <c r="J35" s="233">
        <v>0.51600000000000001</v>
      </c>
      <c r="K35" s="233">
        <v>6.0110000000000001</v>
      </c>
      <c r="L35" s="200">
        <v>0</v>
      </c>
      <c r="M35" s="233">
        <v>2.4790000000000001</v>
      </c>
      <c r="N35" s="200">
        <v>0</v>
      </c>
      <c r="O35" s="201">
        <v>0</v>
      </c>
      <c r="P35" s="198"/>
    </row>
    <row r="36" spans="1:16" x14ac:dyDescent="0.2">
      <c r="A36" s="675"/>
      <c r="B36" s="238" t="s">
        <v>42</v>
      </c>
      <c r="C36" s="203">
        <v>3.528</v>
      </c>
      <c r="D36" s="235">
        <v>0</v>
      </c>
      <c r="E36" s="203">
        <v>0</v>
      </c>
      <c r="F36" s="204">
        <v>0</v>
      </c>
      <c r="G36" s="236">
        <v>0</v>
      </c>
      <c r="H36" s="235">
        <v>0</v>
      </c>
      <c r="I36" s="235">
        <v>0</v>
      </c>
      <c r="J36" s="235">
        <v>0</v>
      </c>
      <c r="K36" s="235">
        <v>0</v>
      </c>
      <c r="L36" s="235">
        <v>0</v>
      </c>
      <c r="M36" s="235">
        <v>0</v>
      </c>
      <c r="N36" s="235">
        <v>0</v>
      </c>
      <c r="O36" s="237">
        <v>0</v>
      </c>
      <c r="P36" s="198"/>
    </row>
    <row r="37" spans="1:16" x14ac:dyDescent="0.2">
      <c r="A37" s="675"/>
      <c r="B37" s="238" t="s">
        <v>342</v>
      </c>
      <c r="C37" s="203">
        <v>4.0389999999999997</v>
      </c>
      <c r="D37" s="203">
        <f>G37+H37+I37+J37+K37+L37+M37+N37+O37</f>
        <v>4.0270000000000001</v>
      </c>
      <c r="E37" s="203">
        <v>0</v>
      </c>
      <c r="F37" s="204">
        <v>0.27400000000000002</v>
      </c>
      <c r="G37" s="205">
        <v>3.722</v>
      </c>
      <c r="H37" s="203">
        <v>0.30499999999999999</v>
      </c>
      <c r="I37" s="203">
        <v>0</v>
      </c>
      <c r="J37" s="203">
        <v>0</v>
      </c>
      <c r="K37" s="203">
        <v>0</v>
      </c>
      <c r="L37" s="203">
        <v>0</v>
      </c>
      <c r="M37" s="203">
        <v>0</v>
      </c>
      <c r="N37" s="203">
        <v>0</v>
      </c>
      <c r="O37" s="204">
        <v>0</v>
      </c>
      <c r="P37" s="198"/>
    </row>
    <row r="38" spans="1:16" x14ac:dyDescent="0.2">
      <c r="A38" s="675"/>
      <c r="B38" s="238" t="s">
        <v>44</v>
      </c>
      <c r="C38" s="203">
        <v>0.222</v>
      </c>
      <c r="D38" s="203">
        <f>G38+H38+I38+J38+K38+L38+M38+N38+O38</f>
        <v>0.59299999999999997</v>
      </c>
      <c r="E38" s="203">
        <v>0.371</v>
      </c>
      <c r="F38" s="204">
        <v>0</v>
      </c>
      <c r="G38" s="205">
        <v>0.58799999999999997</v>
      </c>
      <c r="H38" s="203">
        <v>0</v>
      </c>
      <c r="I38" s="203">
        <v>0</v>
      </c>
      <c r="J38" s="203">
        <v>0</v>
      </c>
      <c r="K38" s="203">
        <v>5.0000000000000001E-3</v>
      </c>
      <c r="L38" s="203">
        <v>0</v>
      </c>
      <c r="M38" s="203">
        <v>0</v>
      </c>
      <c r="N38" s="203">
        <v>0</v>
      </c>
      <c r="O38" s="204">
        <v>0</v>
      </c>
      <c r="P38" s="198"/>
    </row>
    <row r="39" spans="1:16" x14ac:dyDescent="0.2">
      <c r="A39" s="675"/>
      <c r="B39" s="238" t="s">
        <v>41</v>
      </c>
      <c r="C39" s="203">
        <v>1.028</v>
      </c>
      <c r="D39" s="203">
        <f>G39+H39+I39+J39+K39+L39+M39+N39+O39</f>
        <v>1.03</v>
      </c>
      <c r="E39" s="203">
        <v>2E-3</v>
      </c>
      <c r="F39" s="204">
        <v>0</v>
      </c>
      <c r="G39" s="205">
        <f>0.34+0.028</f>
        <v>0.36800000000000005</v>
      </c>
      <c r="H39" s="203">
        <v>0.182</v>
      </c>
      <c r="I39" s="203">
        <v>0</v>
      </c>
      <c r="J39" s="203">
        <v>0</v>
      </c>
      <c r="K39" s="203">
        <v>0.48</v>
      </c>
      <c r="L39" s="203">
        <v>0</v>
      </c>
      <c r="M39" s="203">
        <v>0</v>
      </c>
      <c r="N39" s="203">
        <v>0</v>
      </c>
      <c r="O39" s="204">
        <v>0</v>
      </c>
      <c r="P39" s="198"/>
    </row>
    <row r="40" spans="1:16" x14ac:dyDescent="0.2">
      <c r="A40" s="675"/>
      <c r="B40" s="238" t="s">
        <v>40</v>
      </c>
      <c r="C40" s="203">
        <v>4.1139999999999999</v>
      </c>
      <c r="D40" s="203">
        <f>G40+H40+I40+J40+K40+L40+M40+N40+O40</f>
        <v>4.633</v>
      </c>
      <c r="E40" s="203">
        <v>0.51900000000000002</v>
      </c>
      <c r="F40" s="204">
        <v>0</v>
      </c>
      <c r="G40" s="205">
        <f>3.377+0.032</f>
        <v>3.4089999999999998</v>
      </c>
      <c r="H40" s="203">
        <v>0.254</v>
      </c>
      <c r="I40" s="203">
        <v>0</v>
      </c>
      <c r="J40" s="203">
        <v>0</v>
      </c>
      <c r="K40" s="203">
        <v>0.97</v>
      </c>
      <c r="L40" s="203">
        <v>0</v>
      </c>
      <c r="M40" s="203">
        <v>0</v>
      </c>
      <c r="N40" s="203">
        <v>0</v>
      </c>
      <c r="O40" s="204">
        <v>0</v>
      </c>
      <c r="P40" s="198"/>
    </row>
    <row r="41" spans="1:16" x14ac:dyDescent="0.2">
      <c r="A41" s="675"/>
      <c r="B41" s="238" t="s">
        <v>343</v>
      </c>
      <c r="C41" s="203">
        <v>0</v>
      </c>
      <c r="D41" s="203">
        <f>G41+H41+I41+J41+K41+L41+M41+N41+O41</f>
        <v>2.0034999999999998</v>
      </c>
      <c r="E41" s="239">
        <v>0</v>
      </c>
      <c r="F41" s="204">
        <v>0</v>
      </c>
      <c r="G41" s="240">
        <f>(3.363+0.023)*0.5</f>
        <v>1.6930000000000001</v>
      </c>
      <c r="H41" s="239">
        <f>0.5*0.163</f>
        <v>8.1500000000000003E-2</v>
      </c>
      <c r="I41" s="203">
        <v>0</v>
      </c>
      <c r="J41" s="239">
        <v>0</v>
      </c>
      <c r="K41" s="239">
        <f>0.458*0.5</f>
        <v>0.22900000000000001</v>
      </c>
      <c r="L41" s="203">
        <v>0</v>
      </c>
      <c r="M41" s="203">
        <v>0</v>
      </c>
      <c r="N41" s="203">
        <v>0</v>
      </c>
      <c r="O41" s="204">
        <v>0</v>
      </c>
      <c r="P41" s="198"/>
    </row>
    <row r="42" spans="1:16" ht="12" thickBot="1" x14ac:dyDescent="0.25">
      <c r="A42" s="675"/>
      <c r="B42" s="262" t="s">
        <v>43</v>
      </c>
      <c r="C42" s="208">
        <v>2.7970000000000002</v>
      </c>
      <c r="D42" s="190">
        <v>0</v>
      </c>
      <c r="E42" s="241">
        <v>0</v>
      </c>
      <c r="F42" s="191">
        <v>0</v>
      </c>
      <c r="G42" s="189">
        <v>0</v>
      </c>
      <c r="H42" s="190">
        <v>0</v>
      </c>
      <c r="I42" s="190">
        <v>0</v>
      </c>
      <c r="J42" s="190">
        <v>0</v>
      </c>
      <c r="K42" s="190">
        <v>0</v>
      </c>
      <c r="L42" s="190">
        <v>0</v>
      </c>
      <c r="M42" s="190">
        <v>0</v>
      </c>
      <c r="N42" s="190">
        <v>0</v>
      </c>
      <c r="O42" s="191">
        <v>0</v>
      </c>
      <c r="P42" s="198"/>
    </row>
    <row r="43" spans="1:16" ht="12.75" thickTop="1" thickBot="1" x14ac:dyDescent="0.25">
      <c r="A43" s="676"/>
      <c r="B43" s="211" t="s">
        <v>362</v>
      </c>
      <c r="C43" s="193">
        <f t="shared" ref="C43:O43" si="8">SUM(C34:C42)</f>
        <v>27.493000000000002</v>
      </c>
      <c r="D43" s="193">
        <f t="shared" si="8"/>
        <v>28.843499999999999</v>
      </c>
      <c r="E43" s="193">
        <f t="shared" si="8"/>
        <v>0.89200000000000002</v>
      </c>
      <c r="F43" s="194">
        <f t="shared" si="8"/>
        <v>0.27400000000000002</v>
      </c>
      <c r="G43" s="192">
        <f t="shared" si="8"/>
        <v>13.972999999999997</v>
      </c>
      <c r="H43" s="193">
        <f t="shared" si="8"/>
        <v>4.1805000000000003</v>
      </c>
      <c r="I43" s="193">
        <f t="shared" si="8"/>
        <v>0</v>
      </c>
      <c r="J43" s="193">
        <f t="shared" si="8"/>
        <v>0.51600000000000001</v>
      </c>
      <c r="K43" s="193">
        <f t="shared" si="8"/>
        <v>7.6950000000000003</v>
      </c>
      <c r="L43" s="193">
        <f t="shared" si="8"/>
        <v>0</v>
      </c>
      <c r="M43" s="193">
        <f t="shared" si="8"/>
        <v>2.4790000000000001</v>
      </c>
      <c r="N43" s="193">
        <f t="shared" si="8"/>
        <v>0</v>
      </c>
      <c r="O43" s="194">
        <f t="shared" si="8"/>
        <v>0</v>
      </c>
    </row>
    <row r="44" spans="1:16" x14ac:dyDescent="0.2">
      <c r="A44" s="674" t="s">
        <v>221</v>
      </c>
      <c r="B44" s="260" t="s">
        <v>17</v>
      </c>
      <c r="C44" s="230">
        <v>0.23300000000000001</v>
      </c>
      <c r="D44" s="230">
        <f>G44+H44+I44+J44+K44+L44+M44+N44+O44</f>
        <v>0</v>
      </c>
      <c r="E44" s="230">
        <v>0</v>
      </c>
      <c r="F44" s="231">
        <v>0.23300000000000001</v>
      </c>
      <c r="G44" s="232">
        <v>0</v>
      </c>
      <c r="H44" s="230">
        <v>0</v>
      </c>
      <c r="I44" s="230">
        <v>0</v>
      </c>
      <c r="J44" s="230">
        <v>0</v>
      </c>
      <c r="K44" s="230">
        <v>0</v>
      </c>
      <c r="L44" s="230">
        <v>0</v>
      </c>
      <c r="M44" s="230">
        <v>0</v>
      </c>
      <c r="N44" s="230">
        <v>0</v>
      </c>
      <c r="O44" s="231">
        <v>0</v>
      </c>
      <c r="P44" s="198"/>
    </row>
    <row r="45" spans="1:16" x14ac:dyDescent="0.2">
      <c r="A45" s="675"/>
      <c r="B45" s="238" t="s">
        <v>206</v>
      </c>
      <c r="C45" s="203">
        <v>9.5399999999999999E-2</v>
      </c>
      <c r="D45" s="203">
        <f>G45+H45+I45+J45+K45+L45+M45+N45+O45</f>
        <v>9.5399999999999999E-2</v>
      </c>
      <c r="E45" s="203">
        <v>0</v>
      </c>
      <c r="F45" s="204">
        <v>0</v>
      </c>
      <c r="G45" s="205">
        <v>0</v>
      </c>
      <c r="H45" s="203">
        <v>0</v>
      </c>
      <c r="I45" s="203">
        <v>0</v>
      </c>
      <c r="J45" s="203">
        <v>9.5399999999999999E-2</v>
      </c>
      <c r="K45" s="203">
        <v>0</v>
      </c>
      <c r="L45" s="203">
        <v>0</v>
      </c>
      <c r="M45" s="203">
        <v>0</v>
      </c>
      <c r="N45" s="203">
        <v>0</v>
      </c>
      <c r="O45" s="204">
        <v>0</v>
      </c>
      <c r="P45" s="198"/>
    </row>
    <row r="46" spans="1:16" x14ac:dyDescent="0.2">
      <c r="A46" s="675"/>
      <c r="B46" s="238" t="s">
        <v>344</v>
      </c>
      <c r="C46" s="203">
        <v>0</v>
      </c>
      <c r="D46" s="203">
        <f>G46+H46+I46+J46+K46+L46+M46+N46+O46</f>
        <v>2.0034999999999998</v>
      </c>
      <c r="E46" s="239">
        <v>0</v>
      </c>
      <c r="F46" s="204">
        <v>0</v>
      </c>
      <c r="G46" s="240">
        <f>(3.363+0.023)*0.5</f>
        <v>1.6930000000000001</v>
      </c>
      <c r="H46" s="239">
        <f>0.5*0.163</f>
        <v>8.1500000000000003E-2</v>
      </c>
      <c r="I46" s="203">
        <v>0</v>
      </c>
      <c r="J46" s="239">
        <v>0</v>
      </c>
      <c r="K46" s="239">
        <f>0.458*0.5</f>
        <v>0.22900000000000001</v>
      </c>
      <c r="L46" s="203">
        <v>0</v>
      </c>
      <c r="M46" s="203">
        <v>0</v>
      </c>
      <c r="N46" s="203">
        <v>0</v>
      </c>
      <c r="O46" s="204">
        <v>0</v>
      </c>
      <c r="P46" s="198"/>
    </row>
    <row r="47" spans="1:16" x14ac:dyDescent="0.2">
      <c r="A47" s="675"/>
      <c r="B47" s="238" t="s">
        <v>45</v>
      </c>
      <c r="C47" s="203">
        <v>1.665</v>
      </c>
      <c r="D47" s="235">
        <v>0</v>
      </c>
      <c r="E47" s="239">
        <v>0</v>
      </c>
      <c r="F47" s="237">
        <v>0</v>
      </c>
      <c r="G47" s="236">
        <v>0</v>
      </c>
      <c r="H47" s="235">
        <v>0</v>
      </c>
      <c r="I47" s="235">
        <v>0</v>
      </c>
      <c r="J47" s="235">
        <v>0</v>
      </c>
      <c r="K47" s="235">
        <v>0</v>
      </c>
      <c r="L47" s="235">
        <v>0</v>
      </c>
      <c r="M47" s="235">
        <v>0</v>
      </c>
      <c r="N47" s="235">
        <v>0</v>
      </c>
      <c r="O47" s="237">
        <v>0</v>
      </c>
      <c r="P47" s="198"/>
    </row>
    <row r="48" spans="1:16" ht="12" thickBot="1" x14ac:dyDescent="0.25">
      <c r="A48" s="675"/>
      <c r="B48" s="262" t="s">
        <v>38</v>
      </c>
      <c r="C48" s="208">
        <v>0.80900000000000005</v>
      </c>
      <c r="D48" s="190">
        <v>0</v>
      </c>
      <c r="E48" s="241">
        <v>0</v>
      </c>
      <c r="F48" s="191">
        <v>0</v>
      </c>
      <c r="G48" s="189">
        <v>0</v>
      </c>
      <c r="H48" s="190">
        <v>0</v>
      </c>
      <c r="I48" s="190">
        <v>0</v>
      </c>
      <c r="J48" s="190">
        <v>0</v>
      </c>
      <c r="K48" s="190">
        <v>0</v>
      </c>
      <c r="L48" s="190">
        <v>0</v>
      </c>
      <c r="M48" s="190">
        <v>0</v>
      </c>
      <c r="N48" s="190">
        <v>0</v>
      </c>
      <c r="O48" s="191">
        <v>0</v>
      </c>
      <c r="P48" s="198"/>
    </row>
    <row r="49" spans="1:16" ht="12.75" thickTop="1" thickBot="1" x14ac:dyDescent="0.25">
      <c r="A49" s="676"/>
      <c r="B49" s="211" t="s">
        <v>363</v>
      </c>
      <c r="C49" s="216">
        <f t="shared" ref="C49:O49" si="9">SUM(C44:C48)</f>
        <v>2.8024</v>
      </c>
      <c r="D49" s="195">
        <f t="shared" si="9"/>
        <v>2.0989</v>
      </c>
      <c r="E49" s="243">
        <f t="shared" si="9"/>
        <v>0</v>
      </c>
      <c r="F49" s="244">
        <f t="shared" si="9"/>
        <v>0.23300000000000001</v>
      </c>
      <c r="G49" s="245">
        <f t="shared" si="9"/>
        <v>1.6930000000000001</v>
      </c>
      <c r="H49" s="195">
        <f t="shared" si="9"/>
        <v>8.1500000000000003E-2</v>
      </c>
      <c r="I49" s="195">
        <f t="shared" si="9"/>
        <v>0</v>
      </c>
      <c r="J49" s="195">
        <f t="shared" si="9"/>
        <v>9.5399999999999999E-2</v>
      </c>
      <c r="K49" s="195">
        <f t="shared" si="9"/>
        <v>0.22900000000000001</v>
      </c>
      <c r="L49" s="195">
        <f t="shared" si="9"/>
        <v>0</v>
      </c>
      <c r="M49" s="195">
        <f t="shared" si="9"/>
        <v>0</v>
      </c>
      <c r="N49" s="195">
        <f t="shared" si="9"/>
        <v>0</v>
      </c>
      <c r="O49" s="244">
        <f t="shared" si="9"/>
        <v>0</v>
      </c>
      <c r="P49" s="198"/>
    </row>
    <row r="50" spans="1:16" x14ac:dyDescent="0.2">
      <c r="A50" s="674" t="s">
        <v>220</v>
      </c>
      <c r="B50" s="246" t="s">
        <v>238</v>
      </c>
      <c r="C50" s="247">
        <v>1.77</v>
      </c>
      <c r="D50" s="247">
        <f t="shared" ref="D50:D72" si="10">G50+H50+I50+J50+K50+L50+M50+N50+O50</f>
        <v>1.5</v>
      </c>
      <c r="E50" s="247">
        <v>0</v>
      </c>
      <c r="F50" s="248">
        <v>0</v>
      </c>
      <c r="G50" s="232">
        <v>0.19</v>
      </c>
      <c r="H50" s="230">
        <v>0</v>
      </c>
      <c r="I50" s="230">
        <v>0</v>
      </c>
      <c r="J50" s="230">
        <v>0.81</v>
      </c>
      <c r="K50" s="230">
        <v>0</v>
      </c>
      <c r="L50" s="230">
        <v>0</v>
      </c>
      <c r="M50" s="230">
        <v>0</v>
      </c>
      <c r="N50" s="230">
        <v>0.5</v>
      </c>
      <c r="O50" s="231">
        <v>0</v>
      </c>
    </row>
    <row r="51" spans="1:16" x14ac:dyDescent="0.2">
      <c r="A51" s="675"/>
      <c r="B51" s="249" t="s">
        <v>237</v>
      </c>
      <c r="C51" s="250">
        <v>0.66</v>
      </c>
      <c r="D51" s="250">
        <f t="shared" si="10"/>
        <v>1.28</v>
      </c>
      <c r="E51" s="250">
        <v>0.45</v>
      </c>
      <c r="F51" s="251">
        <v>0</v>
      </c>
      <c r="G51" s="205">
        <v>0</v>
      </c>
      <c r="H51" s="203">
        <v>0</v>
      </c>
      <c r="I51" s="203">
        <v>0</v>
      </c>
      <c r="J51" s="203">
        <v>0.5</v>
      </c>
      <c r="K51" s="203">
        <v>0</v>
      </c>
      <c r="L51" s="203">
        <v>0</v>
      </c>
      <c r="M51" s="203">
        <v>0.78</v>
      </c>
      <c r="N51" s="203">
        <v>0</v>
      </c>
      <c r="O51" s="204">
        <v>0</v>
      </c>
    </row>
    <row r="52" spans="1:16" x14ac:dyDescent="0.2">
      <c r="A52" s="675"/>
      <c r="B52" s="249" t="s">
        <v>145</v>
      </c>
      <c r="C52" s="250">
        <v>2.2599999999999998</v>
      </c>
      <c r="D52" s="250">
        <f t="shared" si="10"/>
        <v>2.2599999999999998</v>
      </c>
      <c r="E52" s="250">
        <v>0</v>
      </c>
      <c r="F52" s="251">
        <v>0</v>
      </c>
      <c r="G52" s="205">
        <v>0</v>
      </c>
      <c r="H52" s="203">
        <v>0</v>
      </c>
      <c r="I52" s="203">
        <v>0</v>
      </c>
      <c r="J52" s="203">
        <v>0</v>
      </c>
      <c r="K52" s="203">
        <v>0</v>
      </c>
      <c r="L52" s="203">
        <v>0</v>
      </c>
      <c r="M52" s="203">
        <v>2.2599999999999998</v>
      </c>
      <c r="N52" s="203">
        <v>0</v>
      </c>
      <c r="O52" s="204">
        <v>0</v>
      </c>
    </row>
    <row r="53" spans="1:16" x14ac:dyDescent="0.2">
      <c r="A53" s="675"/>
      <c r="B53" s="249" t="s">
        <v>162</v>
      </c>
      <c r="C53" s="250">
        <v>0.02</v>
      </c>
      <c r="D53" s="250">
        <f t="shared" si="10"/>
        <v>0.02</v>
      </c>
      <c r="E53" s="250">
        <v>0</v>
      </c>
      <c r="F53" s="251">
        <v>0</v>
      </c>
      <c r="G53" s="205">
        <v>0</v>
      </c>
      <c r="H53" s="203">
        <v>0.02</v>
      </c>
      <c r="I53" s="203">
        <v>0</v>
      </c>
      <c r="J53" s="203">
        <v>0</v>
      </c>
      <c r="K53" s="203">
        <v>0</v>
      </c>
      <c r="L53" s="203">
        <v>0</v>
      </c>
      <c r="M53" s="203">
        <v>0</v>
      </c>
      <c r="N53" s="203">
        <v>0</v>
      </c>
      <c r="O53" s="204">
        <v>0</v>
      </c>
    </row>
    <row r="54" spans="1:16" x14ac:dyDescent="0.2">
      <c r="A54" s="675"/>
      <c r="B54" s="249" t="s">
        <v>191</v>
      </c>
      <c r="C54" s="250">
        <v>0.25</v>
      </c>
      <c r="D54" s="250">
        <f t="shared" si="10"/>
        <v>0.25</v>
      </c>
      <c r="E54" s="250">
        <v>0</v>
      </c>
      <c r="F54" s="251">
        <v>0</v>
      </c>
      <c r="G54" s="205">
        <v>0</v>
      </c>
      <c r="H54" s="203">
        <v>0</v>
      </c>
      <c r="I54" s="203">
        <v>0</v>
      </c>
      <c r="J54" s="203">
        <v>0</v>
      </c>
      <c r="K54" s="203">
        <v>0.25</v>
      </c>
      <c r="L54" s="203">
        <v>0</v>
      </c>
      <c r="M54" s="203">
        <v>0</v>
      </c>
      <c r="N54" s="203">
        <v>0</v>
      </c>
      <c r="O54" s="204">
        <v>0</v>
      </c>
    </row>
    <row r="55" spans="1:16" x14ac:dyDescent="0.2">
      <c r="A55" s="675"/>
      <c r="B55" s="249" t="s">
        <v>174</v>
      </c>
      <c r="C55" s="250">
        <v>0.15</v>
      </c>
      <c r="D55" s="250">
        <f t="shared" si="10"/>
        <v>0.15</v>
      </c>
      <c r="E55" s="250">
        <v>0</v>
      </c>
      <c r="F55" s="251">
        <v>0</v>
      </c>
      <c r="G55" s="205">
        <v>0</v>
      </c>
      <c r="H55" s="203">
        <v>0</v>
      </c>
      <c r="I55" s="203">
        <v>0</v>
      </c>
      <c r="J55" s="203">
        <v>0</v>
      </c>
      <c r="K55" s="203">
        <v>0.15</v>
      </c>
      <c r="L55" s="203">
        <v>0</v>
      </c>
      <c r="M55" s="203">
        <v>0</v>
      </c>
      <c r="N55" s="203">
        <v>0</v>
      </c>
      <c r="O55" s="204">
        <v>0</v>
      </c>
    </row>
    <row r="56" spans="1:16" x14ac:dyDescent="0.2">
      <c r="A56" s="675"/>
      <c r="B56" s="249" t="s">
        <v>188</v>
      </c>
      <c r="C56" s="250">
        <v>0.13</v>
      </c>
      <c r="D56" s="250">
        <f t="shared" si="10"/>
        <v>0.13</v>
      </c>
      <c r="E56" s="250">
        <v>0</v>
      </c>
      <c r="F56" s="251">
        <v>0</v>
      </c>
      <c r="G56" s="205">
        <v>0</v>
      </c>
      <c r="H56" s="203">
        <v>0</v>
      </c>
      <c r="I56" s="203">
        <v>0</v>
      </c>
      <c r="J56" s="203">
        <v>0</v>
      </c>
      <c r="K56" s="203">
        <v>0.13</v>
      </c>
      <c r="L56" s="203">
        <v>0</v>
      </c>
      <c r="M56" s="203">
        <v>0</v>
      </c>
      <c r="N56" s="203">
        <v>0</v>
      </c>
      <c r="O56" s="204">
        <v>0</v>
      </c>
    </row>
    <row r="57" spans="1:16" x14ac:dyDescent="0.2">
      <c r="A57" s="675"/>
      <c r="B57" s="249" t="s">
        <v>176</v>
      </c>
      <c r="C57" s="250">
        <v>0.5</v>
      </c>
      <c r="D57" s="250">
        <f t="shared" si="10"/>
        <v>0.5</v>
      </c>
      <c r="E57" s="250">
        <v>0</v>
      </c>
      <c r="F57" s="251">
        <v>0</v>
      </c>
      <c r="G57" s="205">
        <v>0</v>
      </c>
      <c r="H57" s="203">
        <v>0</v>
      </c>
      <c r="I57" s="203">
        <v>0</v>
      </c>
      <c r="J57" s="203">
        <v>0</v>
      </c>
      <c r="K57" s="203">
        <v>0</v>
      </c>
      <c r="L57" s="203">
        <v>0</v>
      </c>
      <c r="M57" s="203">
        <v>0.5</v>
      </c>
      <c r="N57" s="203">
        <v>0</v>
      </c>
      <c r="O57" s="204">
        <v>0</v>
      </c>
    </row>
    <row r="58" spans="1:16" x14ac:dyDescent="0.2">
      <c r="A58" s="675"/>
      <c r="B58" s="249" t="s">
        <v>151</v>
      </c>
      <c r="C58" s="250">
        <v>0.14000000000000001</v>
      </c>
      <c r="D58" s="250">
        <f t="shared" si="10"/>
        <v>0.14000000000000001</v>
      </c>
      <c r="E58" s="250">
        <v>0</v>
      </c>
      <c r="F58" s="251">
        <v>0</v>
      </c>
      <c r="G58" s="205">
        <v>0</v>
      </c>
      <c r="H58" s="203">
        <v>0</v>
      </c>
      <c r="I58" s="203">
        <v>0</v>
      </c>
      <c r="J58" s="203">
        <v>0</v>
      </c>
      <c r="K58" s="203">
        <v>0.14000000000000001</v>
      </c>
      <c r="L58" s="203">
        <v>0</v>
      </c>
      <c r="M58" s="203">
        <v>0</v>
      </c>
      <c r="N58" s="203">
        <v>0</v>
      </c>
      <c r="O58" s="204">
        <v>0</v>
      </c>
    </row>
    <row r="59" spans="1:16" x14ac:dyDescent="0.2">
      <c r="A59" s="675"/>
      <c r="B59" s="249" t="s">
        <v>148</v>
      </c>
      <c r="C59" s="250">
        <v>1.98</v>
      </c>
      <c r="D59" s="250">
        <f t="shared" si="10"/>
        <v>1.6560000000000001</v>
      </c>
      <c r="E59" s="250">
        <v>0</v>
      </c>
      <c r="F59" s="251">
        <v>0</v>
      </c>
      <c r="G59" s="205">
        <v>0.19600000000000001</v>
      </c>
      <c r="H59" s="203">
        <v>0.6</v>
      </c>
      <c r="I59" s="203">
        <v>0</v>
      </c>
      <c r="J59" s="203">
        <v>0.25</v>
      </c>
      <c r="K59" s="203">
        <v>0.61</v>
      </c>
      <c r="L59" s="203">
        <v>0</v>
      </c>
      <c r="M59" s="203">
        <v>0</v>
      </c>
      <c r="N59" s="203">
        <v>0</v>
      </c>
      <c r="O59" s="204">
        <v>0</v>
      </c>
    </row>
    <row r="60" spans="1:16" x14ac:dyDescent="0.2">
      <c r="A60" s="675"/>
      <c r="B60" s="249" t="s">
        <v>142</v>
      </c>
      <c r="C60" s="250">
        <v>0.68</v>
      </c>
      <c r="D60" s="250">
        <f t="shared" si="10"/>
        <v>0.68</v>
      </c>
      <c r="E60" s="250">
        <v>0</v>
      </c>
      <c r="F60" s="251">
        <v>0</v>
      </c>
      <c r="G60" s="205">
        <v>0</v>
      </c>
      <c r="H60" s="203">
        <v>0</v>
      </c>
      <c r="I60" s="203">
        <v>0</v>
      </c>
      <c r="J60" s="203">
        <v>0.63</v>
      </c>
      <c r="K60" s="203">
        <v>0.05</v>
      </c>
      <c r="L60" s="203">
        <v>0</v>
      </c>
      <c r="M60" s="203">
        <v>0</v>
      </c>
      <c r="N60" s="203">
        <v>0</v>
      </c>
      <c r="O60" s="204">
        <v>0</v>
      </c>
    </row>
    <row r="61" spans="1:16" x14ac:dyDescent="0.2">
      <c r="A61" s="675"/>
      <c r="B61" s="249" t="s">
        <v>183</v>
      </c>
      <c r="C61" s="250">
        <v>1.1499999999999999</v>
      </c>
      <c r="D61" s="250">
        <f t="shared" si="10"/>
        <v>1.25</v>
      </c>
      <c r="E61" s="250">
        <v>0</v>
      </c>
      <c r="F61" s="251">
        <v>0</v>
      </c>
      <c r="G61" s="205">
        <v>0.34</v>
      </c>
      <c r="H61" s="203">
        <v>0.26</v>
      </c>
      <c r="I61" s="203">
        <v>0.04</v>
      </c>
      <c r="J61" s="203">
        <v>0.04</v>
      </c>
      <c r="K61" s="203">
        <v>0.56999999999999995</v>
      </c>
      <c r="L61" s="203">
        <v>0</v>
      </c>
      <c r="M61" s="203">
        <v>0</v>
      </c>
      <c r="N61" s="203">
        <v>0</v>
      </c>
      <c r="O61" s="204">
        <v>0</v>
      </c>
    </row>
    <row r="62" spans="1:16" x14ac:dyDescent="0.2">
      <c r="A62" s="675"/>
      <c r="B62" s="249" t="s">
        <v>129</v>
      </c>
      <c r="C62" s="250">
        <v>7.62</v>
      </c>
      <c r="D62" s="250">
        <f t="shared" si="10"/>
        <v>7.62</v>
      </c>
      <c r="E62" s="250">
        <v>0</v>
      </c>
      <c r="F62" s="251">
        <v>4.8099999999999996</v>
      </c>
      <c r="G62" s="205">
        <v>0</v>
      </c>
      <c r="H62" s="203">
        <v>0</v>
      </c>
      <c r="I62" s="203">
        <v>0</v>
      </c>
      <c r="J62" s="203">
        <v>0</v>
      </c>
      <c r="K62" s="203">
        <v>0</v>
      </c>
      <c r="L62" s="203">
        <v>0</v>
      </c>
      <c r="M62" s="203">
        <v>7.62</v>
      </c>
      <c r="N62" s="203">
        <v>0</v>
      </c>
      <c r="O62" s="204">
        <v>0</v>
      </c>
    </row>
    <row r="63" spans="1:16" x14ac:dyDescent="0.2">
      <c r="A63" s="675"/>
      <c r="B63" s="249" t="s">
        <v>154</v>
      </c>
      <c r="C63" s="250">
        <v>3.87</v>
      </c>
      <c r="D63" s="250">
        <f t="shared" si="10"/>
        <v>0.54</v>
      </c>
      <c r="E63" s="250">
        <v>0</v>
      </c>
      <c r="F63" s="251">
        <v>0</v>
      </c>
      <c r="G63" s="205">
        <v>0</v>
      </c>
      <c r="H63" s="203">
        <v>0</v>
      </c>
      <c r="I63" s="203">
        <v>0</v>
      </c>
      <c r="J63" s="203">
        <v>0</v>
      </c>
      <c r="K63" s="203">
        <v>0</v>
      </c>
      <c r="L63" s="203">
        <v>0</v>
      </c>
      <c r="M63" s="203">
        <v>0.54</v>
      </c>
      <c r="N63" s="203">
        <v>0</v>
      </c>
      <c r="O63" s="204">
        <v>0</v>
      </c>
    </row>
    <row r="64" spans="1:16" x14ac:dyDescent="0.2">
      <c r="A64" s="675"/>
      <c r="B64" s="249" t="s">
        <v>197</v>
      </c>
      <c r="C64" s="250">
        <v>0.02</v>
      </c>
      <c r="D64" s="250">
        <f t="shared" si="10"/>
        <v>0.02</v>
      </c>
      <c r="E64" s="250">
        <v>0</v>
      </c>
      <c r="F64" s="251">
        <v>0</v>
      </c>
      <c r="G64" s="205">
        <v>0</v>
      </c>
      <c r="H64" s="203">
        <v>0.02</v>
      </c>
      <c r="I64" s="203">
        <v>0</v>
      </c>
      <c r="J64" s="203">
        <v>0</v>
      </c>
      <c r="K64" s="203">
        <v>0</v>
      </c>
      <c r="L64" s="203">
        <v>0</v>
      </c>
      <c r="M64" s="203">
        <v>0</v>
      </c>
      <c r="N64" s="203">
        <v>0</v>
      </c>
      <c r="O64" s="204">
        <v>0</v>
      </c>
    </row>
    <row r="65" spans="1:15" x14ac:dyDescent="0.2">
      <c r="A65" s="675"/>
      <c r="B65" s="249" t="s">
        <v>121</v>
      </c>
      <c r="C65" s="250">
        <v>0.3</v>
      </c>
      <c r="D65" s="250">
        <f t="shared" si="10"/>
        <v>0.28000000000000003</v>
      </c>
      <c r="E65" s="250">
        <v>0</v>
      </c>
      <c r="F65" s="251">
        <v>0.02</v>
      </c>
      <c r="G65" s="205">
        <v>0</v>
      </c>
      <c r="H65" s="203">
        <v>0</v>
      </c>
      <c r="I65" s="203">
        <v>0</v>
      </c>
      <c r="J65" s="203">
        <v>0</v>
      </c>
      <c r="K65" s="203">
        <v>0</v>
      </c>
      <c r="L65" s="203">
        <v>0</v>
      </c>
      <c r="M65" s="203">
        <v>0.28000000000000003</v>
      </c>
      <c r="N65" s="203">
        <v>0</v>
      </c>
      <c r="O65" s="204">
        <v>0</v>
      </c>
    </row>
    <row r="66" spans="1:15" x14ac:dyDescent="0.2">
      <c r="A66" s="675"/>
      <c r="B66" s="249" t="s">
        <v>132</v>
      </c>
      <c r="C66" s="250">
        <v>0.12</v>
      </c>
      <c r="D66" s="250">
        <f t="shared" si="10"/>
        <v>0.12</v>
      </c>
      <c r="E66" s="250">
        <v>0</v>
      </c>
      <c r="F66" s="251">
        <v>0</v>
      </c>
      <c r="G66" s="205">
        <v>0</v>
      </c>
      <c r="H66" s="203">
        <v>0</v>
      </c>
      <c r="I66" s="203">
        <v>0</v>
      </c>
      <c r="J66" s="203">
        <v>0</v>
      </c>
      <c r="K66" s="203">
        <v>0.12</v>
      </c>
      <c r="L66" s="203">
        <v>0</v>
      </c>
      <c r="M66" s="203">
        <v>0</v>
      </c>
      <c r="N66" s="203">
        <v>0</v>
      </c>
      <c r="O66" s="204">
        <v>0</v>
      </c>
    </row>
    <row r="67" spans="1:15" x14ac:dyDescent="0.2">
      <c r="A67" s="675"/>
      <c r="B67" s="249" t="s">
        <v>194</v>
      </c>
      <c r="C67" s="250">
        <v>0.14000000000000001</v>
      </c>
      <c r="D67" s="250">
        <f t="shared" si="10"/>
        <v>0.14000000000000001</v>
      </c>
      <c r="E67" s="250">
        <v>0</v>
      </c>
      <c r="F67" s="251">
        <v>0</v>
      </c>
      <c r="G67" s="205">
        <v>0</v>
      </c>
      <c r="H67" s="203">
        <v>0</v>
      </c>
      <c r="I67" s="203">
        <v>0</v>
      </c>
      <c r="J67" s="203">
        <v>0.14000000000000001</v>
      </c>
      <c r="K67" s="203">
        <v>0</v>
      </c>
      <c r="L67" s="203">
        <v>0</v>
      </c>
      <c r="M67" s="203">
        <v>0</v>
      </c>
      <c r="N67" s="203">
        <v>0</v>
      </c>
      <c r="O67" s="204">
        <v>0</v>
      </c>
    </row>
    <row r="68" spans="1:15" x14ac:dyDescent="0.2">
      <c r="A68" s="675"/>
      <c r="B68" s="249" t="s">
        <v>138</v>
      </c>
      <c r="C68" s="250">
        <v>3.5</v>
      </c>
      <c r="D68" s="250">
        <f t="shared" si="10"/>
        <v>3.9809999999999999</v>
      </c>
      <c r="E68" s="250">
        <v>0.6</v>
      </c>
      <c r="F68" s="251">
        <v>0</v>
      </c>
      <c r="G68" s="205">
        <v>3.44</v>
      </c>
      <c r="H68" s="203">
        <v>0.23100000000000001</v>
      </c>
      <c r="I68" s="203">
        <v>0</v>
      </c>
      <c r="J68" s="203">
        <v>0</v>
      </c>
      <c r="K68" s="203">
        <v>0.31</v>
      </c>
      <c r="L68" s="203">
        <v>0</v>
      </c>
      <c r="M68" s="203">
        <v>0</v>
      </c>
      <c r="N68" s="203">
        <v>0</v>
      </c>
      <c r="O68" s="204">
        <v>0</v>
      </c>
    </row>
    <row r="69" spans="1:15" x14ac:dyDescent="0.2">
      <c r="A69" s="675"/>
      <c r="B69" s="249" t="s">
        <v>186</v>
      </c>
      <c r="C69" s="250">
        <v>1.52</v>
      </c>
      <c r="D69" s="250">
        <f t="shared" si="10"/>
        <v>0.86899999999999999</v>
      </c>
      <c r="E69" s="250">
        <v>0</v>
      </c>
      <c r="F69" s="251">
        <v>0</v>
      </c>
      <c r="G69" s="205">
        <v>0.5</v>
      </c>
      <c r="H69" s="203">
        <v>7.0000000000000007E-2</v>
      </c>
      <c r="I69" s="203">
        <v>0</v>
      </c>
      <c r="J69" s="203">
        <v>0.11</v>
      </c>
      <c r="K69" s="203">
        <v>8.9999999999999993E-3</v>
      </c>
      <c r="L69" s="203">
        <v>0</v>
      </c>
      <c r="M69" s="203">
        <v>0</v>
      </c>
      <c r="N69" s="203">
        <v>0</v>
      </c>
      <c r="O69" s="204">
        <v>0.18</v>
      </c>
    </row>
    <row r="70" spans="1:15" x14ac:dyDescent="0.2">
      <c r="A70" s="675"/>
      <c r="B70" s="249" t="s">
        <v>137</v>
      </c>
      <c r="C70" s="250">
        <v>2.14</v>
      </c>
      <c r="D70" s="250">
        <f t="shared" si="10"/>
        <v>1.97</v>
      </c>
      <c r="E70" s="250">
        <v>0.26</v>
      </c>
      <c r="F70" s="251">
        <v>0</v>
      </c>
      <c r="G70" s="205">
        <v>1.0900000000000001</v>
      </c>
      <c r="H70" s="203">
        <v>0.14000000000000001</v>
      </c>
      <c r="I70" s="203">
        <v>0</v>
      </c>
      <c r="J70" s="203">
        <v>0</v>
      </c>
      <c r="K70" s="203">
        <v>0</v>
      </c>
      <c r="L70" s="203">
        <v>0</v>
      </c>
      <c r="M70" s="203">
        <v>0.74</v>
      </c>
      <c r="N70" s="203">
        <v>0</v>
      </c>
      <c r="O70" s="204">
        <v>0</v>
      </c>
    </row>
    <row r="71" spans="1:15" x14ac:dyDescent="0.2">
      <c r="A71" s="675"/>
      <c r="B71" s="249" t="s">
        <v>140</v>
      </c>
      <c r="C71" s="250">
        <v>0.04</v>
      </c>
      <c r="D71" s="250">
        <f t="shared" si="10"/>
        <v>0.04</v>
      </c>
      <c r="E71" s="250">
        <v>0</v>
      </c>
      <c r="F71" s="251">
        <v>0</v>
      </c>
      <c r="G71" s="205">
        <v>0</v>
      </c>
      <c r="H71" s="203">
        <v>0</v>
      </c>
      <c r="I71" s="203">
        <v>0</v>
      </c>
      <c r="J71" s="203">
        <v>0</v>
      </c>
      <c r="K71" s="203">
        <v>0.04</v>
      </c>
      <c r="L71" s="203">
        <v>0</v>
      </c>
      <c r="M71" s="203">
        <v>0</v>
      </c>
      <c r="N71" s="203">
        <v>0</v>
      </c>
      <c r="O71" s="204">
        <v>0</v>
      </c>
    </row>
    <row r="72" spans="1:15" x14ac:dyDescent="0.2">
      <c r="A72" s="675"/>
      <c r="B72" s="249" t="s">
        <v>200</v>
      </c>
      <c r="C72" s="250">
        <v>0.36</v>
      </c>
      <c r="D72" s="250">
        <f t="shared" si="10"/>
        <v>0.36</v>
      </c>
      <c r="E72" s="250">
        <v>0</v>
      </c>
      <c r="F72" s="251">
        <v>0</v>
      </c>
      <c r="G72" s="205">
        <v>0</v>
      </c>
      <c r="H72" s="203">
        <v>0</v>
      </c>
      <c r="I72" s="203">
        <v>0</v>
      </c>
      <c r="J72" s="203">
        <v>0</v>
      </c>
      <c r="K72" s="203">
        <v>0.36</v>
      </c>
      <c r="L72" s="203">
        <v>0</v>
      </c>
      <c r="M72" s="203">
        <v>0</v>
      </c>
      <c r="N72" s="203">
        <v>0</v>
      </c>
      <c r="O72" s="204">
        <v>0</v>
      </c>
    </row>
    <row r="73" spans="1:15" x14ac:dyDescent="0.2">
      <c r="A73" s="675"/>
      <c r="B73" s="249" t="s">
        <v>159</v>
      </c>
      <c r="C73" s="250">
        <v>0.01</v>
      </c>
      <c r="D73" s="250">
        <v>0.01</v>
      </c>
      <c r="E73" s="250">
        <v>0</v>
      </c>
      <c r="F73" s="251">
        <v>0</v>
      </c>
      <c r="G73" s="205">
        <v>0</v>
      </c>
      <c r="H73" s="203">
        <v>0.01</v>
      </c>
      <c r="I73" s="203">
        <v>0</v>
      </c>
      <c r="J73" s="203">
        <v>0</v>
      </c>
      <c r="K73" s="203">
        <v>0</v>
      </c>
      <c r="L73" s="203">
        <v>0</v>
      </c>
      <c r="M73" s="203">
        <v>0</v>
      </c>
      <c r="N73" s="203">
        <v>0</v>
      </c>
      <c r="O73" s="204">
        <v>0</v>
      </c>
    </row>
    <row r="74" spans="1:15" x14ac:dyDescent="0.2">
      <c r="A74" s="675"/>
      <c r="B74" s="249" t="s">
        <v>168</v>
      </c>
      <c r="C74" s="250">
        <v>0.04</v>
      </c>
      <c r="D74" s="250">
        <f t="shared" ref="D74:D79" si="11">G74+H74+I74+J74+K74+L74+M74+N74+O74</f>
        <v>0.04</v>
      </c>
      <c r="E74" s="250">
        <v>0</v>
      </c>
      <c r="F74" s="251">
        <v>0</v>
      </c>
      <c r="G74" s="205">
        <v>0</v>
      </c>
      <c r="H74" s="203">
        <v>0</v>
      </c>
      <c r="I74" s="203">
        <v>0</v>
      </c>
      <c r="J74" s="203">
        <v>0</v>
      </c>
      <c r="K74" s="203">
        <v>0.04</v>
      </c>
      <c r="L74" s="203">
        <v>0</v>
      </c>
      <c r="M74" s="203">
        <v>0</v>
      </c>
      <c r="N74" s="203">
        <v>0</v>
      </c>
      <c r="O74" s="204">
        <v>0</v>
      </c>
    </row>
    <row r="75" spans="1:15" x14ac:dyDescent="0.2">
      <c r="A75" s="675"/>
      <c r="B75" s="249" t="s">
        <v>165</v>
      </c>
      <c r="C75" s="250">
        <v>0.03</v>
      </c>
      <c r="D75" s="250">
        <f t="shared" si="11"/>
        <v>0.03</v>
      </c>
      <c r="E75" s="250">
        <v>0</v>
      </c>
      <c r="F75" s="251">
        <v>0</v>
      </c>
      <c r="G75" s="205">
        <v>0</v>
      </c>
      <c r="H75" s="203">
        <v>0</v>
      </c>
      <c r="I75" s="203">
        <v>0</v>
      </c>
      <c r="J75" s="203">
        <v>0</v>
      </c>
      <c r="K75" s="203">
        <v>0.03</v>
      </c>
      <c r="L75" s="203">
        <v>0</v>
      </c>
      <c r="M75" s="203">
        <v>0</v>
      </c>
      <c r="N75" s="203">
        <v>0</v>
      </c>
      <c r="O75" s="204">
        <v>0</v>
      </c>
    </row>
    <row r="76" spans="1:15" x14ac:dyDescent="0.2">
      <c r="A76" s="675"/>
      <c r="B76" s="249" t="s">
        <v>171</v>
      </c>
      <c r="C76" s="250">
        <v>0.11</v>
      </c>
      <c r="D76" s="250">
        <f t="shared" si="11"/>
        <v>0.11</v>
      </c>
      <c r="E76" s="250">
        <v>0</v>
      </c>
      <c r="F76" s="251">
        <v>0</v>
      </c>
      <c r="G76" s="205">
        <v>0</v>
      </c>
      <c r="H76" s="203">
        <v>0.11</v>
      </c>
      <c r="I76" s="203">
        <v>0</v>
      </c>
      <c r="J76" s="203">
        <v>0</v>
      </c>
      <c r="K76" s="203">
        <v>0</v>
      </c>
      <c r="L76" s="203">
        <v>0</v>
      </c>
      <c r="M76" s="203">
        <v>0</v>
      </c>
      <c r="N76" s="203">
        <v>0</v>
      </c>
      <c r="O76" s="204">
        <v>0</v>
      </c>
    </row>
    <row r="77" spans="1:15" x14ac:dyDescent="0.2">
      <c r="A77" s="675"/>
      <c r="B77" s="249" t="s">
        <v>156</v>
      </c>
      <c r="C77" s="250">
        <v>0.13</v>
      </c>
      <c r="D77" s="250">
        <f t="shared" si="11"/>
        <v>0.13</v>
      </c>
      <c r="E77" s="250">
        <v>0</v>
      </c>
      <c r="F77" s="251">
        <v>0</v>
      </c>
      <c r="G77" s="205">
        <v>0</v>
      </c>
      <c r="H77" s="203">
        <v>0</v>
      </c>
      <c r="I77" s="203">
        <v>0</v>
      </c>
      <c r="J77" s="203">
        <v>0</v>
      </c>
      <c r="K77" s="203">
        <v>0.13</v>
      </c>
      <c r="L77" s="203">
        <v>0</v>
      </c>
      <c r="M77" s="203">
        <v>0</v>
      </c>
      <c r="N77" s="203">
        <v>0</v>
      </c>
      <c r="O77" s="204">
        <v>0</v>
      </c>
    </row>
    <row r="78" spans="1:15" x14ac:dyDescent="0.2">
      <c r="A78" s="675"/>
      <c r="B78" s="249" t="s">
        <v>180</v>
      </c>
      <c r="C78" s="250">
        <v>1.25</v>
      </c>
      <c r="D78" s="250">
        <f t="shared" si="11"/>
        <v>1.2780000000000002</v>
      </c>
      <c r="E78" s="250">
        <v>0</v>
      </c>
      <c r="F78" s="251">
        <v>0</v>
      </c>
      <c r="G78" s="205">
        <v>0.81</v>
      </c>
      <c r="H78" s="203">
        <v>0.27</v>
      </c>
      <c r="I78" s="203">
        <v>0.1</v>
      </c>
      <c r="J78" s="203">
        <v>0</v>
      </c>
      <c r="K78" s="203">
        <v>0</v>
      </c>
      <c r="L78" s="203">
        <v>0</v>
      </c>
      <c r="M78" s="203">
        <v>9.8000000000000004E-2</v>
      </c>
      <c r="N78" s="203">
        <v>0</v>
      </c>
      <c r="O78" s="204">
        <v>0</v>
      </c>
    </row>
    <row r="79" spans="1:15" ht="12" thickBot="1" x14ac:dyDescent="0.25">
      <c r="A79" s="675"/>
      <c r="B79" s="263" t="s">
        <v>127</v>
      </c>
      <c r="C79" s="252">
        <v>4.0599999999999996</v>
      </c>
      <c r="D79" s="252">
        <f t="shared" si="11"/>
        <v>0.01</v>
      </c>
      <c r="E79" s="252">
        <v>0</v>
      </c>
      <c r="F79" s="253">
        <v>4.05</v>
      </c>
      <c r="G79" s="210">
        <v>0.01</v>
      </c>
      <c r="H79" s="208">
        <v>0</v>
      </c>
      <c r="I79" s="208">
        <v>0</v>
      </c>
      <c r="J79" s="208">
        <v>0</v>
      </c>
      <c r="K79" s="208">
        <v>0</v>
      </c>
      <c r="L79" s="208">
        <v>0</v>
      </c>
      <c r="M79" s="208">
        <v>0</v>
      </c>
      <c r="N79" s="208">
        <v>0</v>
      </c>
      <c r="O79" s="209">
        <v>0</v>
      </c>
    </row>
    <row r="80" spans="1:15" ht="12.75" thickTop="1" thickBot="1" x14ac:dyDescent="0.25">
      <c r="A80" s="690"/>
      <c r="B80" s="211" t="s">
        <v>364</v>
      </c>
      <c r="C80" s="193">
        <f t="shared" ref="C80:O80" si="12">SUM(C50:C79)</f>
        <v>34.950000000000003</v>
      </c>
      <c r="D80" s="193">
        <f t="shared" si="12"/>
        <v>27.364000000000001</v>
      </c>
      <c r="E80" s="193">
        <f t="shared" si="12"/>
        <v>1.31</v>
      </c>
      <c r="F80" s="194">
        <f t="shared" si="12"/>
        <v>8.879999999999999</v>
      </c>
      <c r="G80" s="224">
        <f t="shared" si="12"/>
        <v>6.5760000000000005</v>
      </c>
      <c r="H80" s="225">
        <f t="shared" si="12"/>
        <v>1.7310000000000003</v>
      </c>
      <c r="I80" s="225">
        <f t="shared" si="12"/>
        <v>0.14000000000000001</v>
      </c>
      <c r="J80" s="225">
        <f t="shared" si="12"/>
        <v>2.48</v>
      </c>
      <c r="K80" s="225">
        <f t="shared" si="12"/>
        <v>2.9389999999999996</v>
      </c>
      <c r="L80" s="225">
        <f t="shared" si="12"/>
        <v>0</v>
      </c>
      <c r="M80" s="225">
        <f>SUM(M50:M79)</f>
        <v>12.818</v>
      </c>
      <c r="N80" s="225">
        <f t="shared" si="12"/>
        <v>0.5</v>
      </c>
      <c r="O80" s="226">
        <f t="shared" si="12"/>
        <v>0.18</v>
      </c>
    </row>
    <row r="81" spans="1:16" ht="12" thickBot="1" x14ac:dyDescent="0.25">
      <c r="A81" s="672" t="s">
        <v>413</v>
      </c>
      <c r="B81" s="673"/>
      <c r="C81" s="228">
        <f t="shared" ref="C81:O81" si="13">C49+C80</f>
        <v>37.752400000000002</v>
      </c>
      <c r="D81" s="228">
        <f t="shared" si="13"/>
        <v>29.462900000000001</v>
      </c>
      <c r="E81" s="228">
        <f t="shared" si="13"/>
        <v>1.31</v>
      </c>
      <c r="F81" s="229">
        <f t="shared" si="13"/>
        <v>9.1129999999999995</v>
      </c>
      <c r="G81" s="227">
        <f t="shared" si="13"/>
        <v>8.2690000000000001</v>
      </c>
      <c r="H81" s="228">
        <f t="shared" si="13"/>
        <v>1.8125000000000002</v>
      </c>
      <c r="I81" s="228">
        <f t="shared" si="13"/>
        <v>0.14000000000000001</v>
      </c>
      <c r="J81" s="228">
        <f t="shared" si="13"/>
        <v>2.5754000000000001</v>
      </c>
      <c r="K81" s="228">
        <f t="shared" si="13"/>
        <v>3.1679999999999997</v>
      </c>
      <c r="L81" s="228">
        <f t="shared" si="13"/>
        <v>0</v>
      </c>
      <c r="M81" s="228">
        <f t="shared" si="13"/>
        <v>12.818</v>
      </c>
      <c r="N81" s="228">
        <f t="shared" si="13"/>
        <v>0.5</v>
      </c>
      <c r="O81" s="229">
        <f t="shared" si="13"/>
        <v>0.18</v>
      </c>
    </row>
    <row r="82" spans="1:16" x14ac:dyDescent="0.2">
      <c r="A82" s="691" t="s">
        <v>365</v>
      </c>
      <c r="B82" s="242" t="s">
        <v>93</v>
      </c>
      <c r="C82" s="230">
        <v>7.03</v>
      </c>
      <c r="D82" s="230">
        <f t="shared" ref="D82:D89" si="14">G82+H82+I82+J82+K82+L82+M82+N82+O82</f>
        <v>9.1289999999999996</v>
      </c>
      <c r="E82" s="230">
        <v>0.35</v>
      </c>
      <c r="F82" s="231">
        <v>0</v>
      </c>
      <c r="G82" s="221">
        <v>7.3330000000000002</v>
      </c>
      <c r="H82" s="200">
        <v>0</v>
      </c>
      <c r="I82" s="200">
        <v>0</v>
      </c>
      <c r="J82" s="200">
        <v>0</v>
      </c>
      <c r="K82" s="200">
        <v>0</v>
      </c>
      <c r="L82" s="200">
        <v>0</v>
      </c>
      <c r="M82" s="200">
        <v>0.311</v>
      </c>
      <c r="N82" s="200">
        <v>0</v>
      </c>
      <c r="O82" s="201">
        <v>1.4850000000000001</v>
      </c>
    </row>
    <row r="83" spans="1:16" x14ac:dyDescent="0.2">
      <c r="A83" s="675"/>
      <c r="B83" s="213" t="s">
        <v>98</v>
      </c>
      <c r="C83" s="203">
        <v>0.72599999999999998</v>
      </c>
      <c r="D83" s="203">
        <f t="shared" si="14"/>
        <v>0.99399999999999999</v>
      </c>
      <c r="E83" s="203">
        <v>0.186</v>
      </c>
      <c r="F83" s="204">
        <v>0</v>
      </c>
      <c r="G83" s="205">
        <v>0.751</v>
      </c>
      <c r="H83" s="203">
        <v>0.13300000000000001</v>
      </c>
      <c r="I83" s="203">
        <v>0</v>
      </c>
      <c r="J83" s="203">
        <v>0</v>
      </c>
      <c r="K83" s="203">
        <v>0.11</v>
      </c>
      <c r="L83" s="203">
        <v>0</v>
      </c>
      <c r="M83" s="203">
        <v>0</v>
      </c>
      <c r="N83" s="203">
        <v>0</v>
      </c>
      <c r="O83" s="204">
        <v>0</v>
      </c>
    </row>
    <row r="84" spans="1:16" x14ac:dyDescent="0.2">
      <c r="A84" s="675"/>
      <c r="B84" s="213" t="s">
        <v>109</v>
      </c>
      <c r="C84" s="203">
        <v>0.191</v>
      </c>
      <c r="D84" s="203">
        <f t="shared" si="14"/>
        <v>0.191</v>
      </c>
      <c r="E84" s="203">
        <v>0</v>
      </c>
      <c r="F84" s="204">
        <v>0</v>
      </c>
      <c r="G84" s="205">
        <v>0.13500000000000001</v>
      </c>
      <c r="H84" s="203">
        <v>0</v>
      </c>
      <c r="I84" s="203">
        <v>0</v>
      </c>
      <c r="J84" s="203">
        <v>5.6000000000000001E-2</v>
      </c>
      <c r="K84" s="203">
        <v>0</v>
      </c>
      <c r="L84" s="203">
        <v>0</v>
      </c>
      <c r="M84" s="203">
        <v>0</v>
      </c>
      <c r="N84" s="203">
        <v>0</v>
      </c>
      <c r="O84" s="204">
        <v>0</v>
      </c>
    </row>
    <row r="85" spans="1:16" x14ac:dyDescent="0.2">
      <c r="A85" s="675"/>
      <c r="B85" s="213" t="s">
        <v>208</v>
      </c>
      <c r="C85" s="203">
        <v>0.38</v>
      </c>
      <c r="D85" s="203">
        <f t="shared" si="14"/>
        <v>0.38</v>
      </c>
      <c r="E85" s="203">
        <v>0</v>
      </c>
      <c r="F85" s="204">
        <v>0</v>
      </c>
      <c r="G85" s="205">
        <v>0</v>
      </c>
      <c r="H85" s="203">
        <v>0</v>
      </c>
      <c r="I85" s="203">
        <v>0</v>
      </c>
      <c r="J85" s="203">
        <v>0</v>
      </c>
      <c r="K85" s="203">
        <v>0.38</v>
      </c>
      <c r="L85" s="203">
        <v>0</v>
      </c>
      <c r="M85" s="203">
        <v>0</v>
      </c>
      <c r="N85" s="203">
        <v>0</v>
      </c>
      <c r="O85" s="204">
        <v>0</v>
      </c>
      <c r="P85" s="185" t="s">
        <v>405</v>
      </c>
    </row>
    <row r="86" spans="1:16" x14ac:dyDescent="0.2">
      <c r="A86" s="675"/>
      <c r="B86" s="213" t="s">
        <v>209</v>
      </c>
      <c r="C86" s="203">
        <v>22.08</v>
      </c>
      <c r="D86" s="203">
        <f t="shared" si="14"/>
        <v>20.36</v>
      </c>
      <c r="E86" s="203">
        <v>0</v>
      </c>
      <c r="F86" s="204">
        <v>2.06</v>
      </c>
      <c r="G86" s="205">
        <v>4.71</v>
      </c>
      <c r="H86" s="203">
        <v>0</v>
      </c>
      <c r="I86" s="203">
        <v>0</v>
      </c>
      <c r="J86" s="203">
        <v>0</v>
      </c>
      <c r="K86" s="203">
        <v>0</v>
      </c>
      <c r="L86" s="203">
        <v>0</v>
      </c>
      <c r="M86" s="203">
        <v>0</v>
      </c>
      <c r="N86" s="203">
        <v>15.65</v>
      </c>
      <c r="O86" s="204">
        <v>0</v>
      </c>
      <c r="P86" s="198"/>
    </row>
    <row r="87" spans="1:16" x14ac:dyDescent="0.2">
      <c r="A87" s="675"/>
      <c r="B87" s="213" t="s">
        <v>106</v>
      </c>
      <c r="C87" s="203">
        <v>1.7170000000000001</v>
      </c>
      <c r="D87" s="203">
        <f t="shared" si="14"/>
        <v>2.2720000000000002</v>
      </c>
      <c r="E87" s="203">
        <v>0</v>
      </c>
      <c r="F87" s="204">
        <v>0</v>
      </c>
      <c r="G87" s="205">
        <v>1.996</v>
      </c>
      <c r="H87" s="203">
        <v>9.5000000000000001E-2</v>
      </c>
      <c r="I87" s="203">
        <v>0</v>
      </c>
      <c r="J87" s="203">
        <v>0</v>
      </c>
      <c r="K87" s="203">
        <v>0.18099999999999999</v>
      </c>
      <c r="L87" s="203">
        <v>0</v>
      </c>
      <c r="M87" s="203">
        <v>0</v>
      </c>
      <c r="N87" s="203">
        <v>0</v>
      </c>
      <c r="O87" s="204">
        <v>0</v>
      </c>
    </row>
    <row r="88" spans="1:16" x14ac:dyDescent="0.2">
      <c r="A88" s="675"/>
      <c r="B88" s="213" t="s">
        <v>112</v>
      </c>
      <c r="C88" s="203">
        <v>9.5000000000000001E-2</v>
      </c>
      <c r="D88" s="203">
        <f t="shared" si="14"/>
        <v>9.5000000000000001E-2</v>
      </c>
      <c r="E88" s="203">
        <v>0</v>
      </c>
      <c r="F88" s="204">
        <v>0</v>
      </c>
      <c r="G88" s="205">
        <v>2.5999999999999999E-2</v>
      </c>
      <c r="H88" s="203">
        <v>0</v>
      </c>
      <c r="I88" s="203">
        <v>0</v>
      </c>
      <c r="J88" s="203">
        <v>0</v>
      </c>
      <c r="K88" s="203">
        <v>0</v>
      </c>
      <c r="L88" s="203">
        <v>0</v>
      </c>
      <c r="M88" s="203">
        <v>0</v>
      </c>
      <c r="N88" s="203">
        <v>0</v>
      </c>
      <c r="O88" s="204">
        <v>6.9000000000000006E-2</v>
      </c>
    </row>
    <row r="89" spans="1:16" x14ac:dyDescent="0.2">
      <c r="A89" s="675"/>
      <c r="B89" s="213" t="s">
        <v>248</v>
      </c>
      <c r="C89" s="203">
        <v>5.819</v>
      </c>
      <c r="D89" s="203">
        <f t="shared" si="14"/>
        <v>6.9959999999999996</v>
      </c>
      <c r="E89" s="203">
        <v>0.21</v>
      </c>
      <c r="F89" s="204">
        <v>0</v>
      </c>
      <c r="G89" s="205">
        <v>4.8949999999999996</v>
      </c>
      <c r="H89" s="203">
        <v>0.35099999999999998</v>
      </c>
      <c r="I89" s="203">
        <v>6.0000000000000001E-3</v>
      </c>
      <c r="J89" s="203">
        <v>1.0940000000000001</v>
      </c>
      <c r="K89" s="203">
        <v>0</v>
      </c>
      <c r="L89" s="203">
        <v>0</v>
      </c>
      <c r="M89" s="203">
        <v>0.55000000000000004</v>
      </c>
      <c r="N89" s="203">
        <v>0</v>
      </c>
      <c r="O89" s="204">
        <v>0.1</v>
      </c>
    </row>
    <row r="90" spans="1:16" x14ac:dyDescent="0.2">
      <c r="A90" s="675"/>
      <c r="B90" s="213" t="s">
        <v>203</v>
      </c>
      <c r="C90" s="203">
        <v>1.516</v>
      </c>
      <c r="D90" s="235">
        <v>0</v>
      </c>
      <c r="E90" s="203">
        <v>0</v>
      </c>
      <c r="F90" s="204">
        <v>0</v>
      </c>
      <c r="G90" s="236">
        <v>0</v>
      </c>
      <c r="H90" s="235">
        <v>0</v>
      </c>
      <c r="I90" s="235">
        <v>0</v>
      </c>
      <c r="J90" s="235">
        <v>0</v>
      </c>
      <c r="K90" s="203">
        <v>0</v>
      </c>
      <c r="L90" s="203">
        <v>0</v>
      </c>
      <c r="M90" s="235">
        <v>0</v>
      </c>
      <c r="N90" s="203">
        <v>0</v>
      </c>
      <c r="O90" s="237">
        <v>0</v>
      </c>
    </row>
    <row r="91" spans="1:16" x14ac:dyDescent="0.2">
      <c r="A91" s="675"/>
      <c r="B91" s="213" t="s">
        <v>247</v>
      </c>
      <c r="C91" s="203">
        <v>2.3199999999999998</v>
      </c>
      <c r="D91" s="203">
        <f>G91+H91+I91+J91+K91+L91+M91+N91+O91</f>
        <v>4.774</v>
      </c>
      <c r="E91" s="203">
        <v>0.127</v>
      </c>
      <c r="F91" s="204">
        <v>0</v>
      </c>
      <c r="G91" s="205">
        <v>4.2009999999999996</v>
      </c>
      <c r="H91" s="203">
        <v>1E-3</v>
      </c>
      <c r="I91" s="203">
        <v>0</v>
      </c>
      <c r="J91" s="203">
        <v>0</v>
      </c>
      <c r="K91" s="203">
        <v>0.56599999999999995</v>
      </c>
      <c r="L91" s="203">
        <v>0</v>
      </c>
      <c r="M91" s="203">
        <v>0</v>
      </c>
      <c r="N91" s="203">
        <v>0</v>
      </c>
      <c r="O91" s="204">
        <v>6.0000000000000001E-3</v>
      </c>
    </row>
    <row r="92" spans="1:16" x14ac:dyDescent="0.2">
      <c r="A92" s="675"/>
      <c r="B92" s="213" t="s">
        <v>115</v>
      </c>
      <c r="C92" s="203">
        <v>2.2709999999999999</v>
      </c>
      <c r="D92" s="235">
        <v>0</v>
      </c>
      <c r="E92" s="203">
        <v>0</v>
      </c>
      <c r="F92" s="204">
        <v>0</v>
      </c>
      <c r="G92" s="236">
        <v>0</v>
      </c>
      <c r="H92" s="203">
        <v>0</v>
      </c>
      <c r="I92" s="203">
        <v>0</v>
      </c>
      <c r="J92" s="203">
        <v>0</v>
      </c>
      <c r="K92" s="235">
        <v>0</v>
      </c>
      <c r="L92" s="203">
        <v>0</v>
      </c>
      <c r="M92" s="203">
        <v>0</v>
      </c>
      <c r="N92" s="203">
        <v>0</v>
      </c>
      <c r="O92" s="237">
        <v>0</v>
      </c>
    </row>
    <row r="93" spans="1:16" x14ac:dyDescent="0.2">
      <c r="A93" s="675"/>
      <c r="B93" s="213" t="s">
        <v>96</v>
      </c>
      <c r="C93" s="203">
        <v>1.9810000000000001</v>
      </c>
      <c r="D93" s="203">
        <f>G93+H93+I93+J93+K93+L93+M93+N93+O93</f>
        <v>1.9089999999999998</v>
      </c>
      <c r="E93" s="203">
        <v>0</v>
      </c>
      <c r="F93" s="204">
        <v>7.4999999999999997E-2</v>
      </c>
      <c r="G93" s="205">
        <v>1.8069999999999999</v>
      </c>
      <c r="H93" s="203">
        <v>5.8999999999999997E-2</v>
      </c>
      <c r="I93" s="203">
        <v>0</v>
      </c>
      <c r="J93" s="203">
        <v>0</v>
      </c>
      <c r="K93" s="203">
        <v>4.2999999999999997E-2</v>
      </c>
      <c r="L93" s="203">
        <v>0</v>
      </c>
      <c r="M93" s="203">
        <v>0</v>
      </c>
      <c r="N93" s="203">
        <v>0</v>
      </c>
      <c r="O93" s="204">
        <v>0</v>
      </c>
    </row>
    <row r="94" spans="1:16" x14ac:dyDescent="0.2">
      <c r="A94" s="675"/>
      <c r="B94" s="213" t="s">
        <v>104</v>
      </c>
      <c r="C94" s="203">
        <v>1.194</v>
      </c>
      <c r="D94" s="203">
        <f>G94+H94+I94+J94+K94+L94+M94+N94+O94</f>
        <v>1.1940000000000002</v>
      </c>
      <c r="E94" s="203">
        <v>0</v>
      </c>
      <c r="F94" s="204">
        <v>0</v>
      </c>
      <c r="G94" s="205">
        <v>0.30299999999999999</v>
      </c>
      <c r="H94" s="203">
        <v>0.45</v>
      </c>
      <c r="I94" s="203">
        <v>0</v>
      </c>
      <c r="J94" s="203">
        <v>0</v>
      </c>
      <c r="K94" s="203">
        <v>0.36699999999999999</v>
      </c>
      <c r="L94" s="203">
        <v>0</v>
      </c>
      <c r="M94" s="203">
        <v>0</v>
      </c>
      <c r="N94" s="203">
        <v>0</v>
      </c>
      <c r="O94" s="204">
        <v>7.3999999999999996E-2</v>
      </c>
    </row>
    <row r="95" spans="1:16" ht="12" thickBot="1" x14ac:dyDescent="0.25">
      <c r="A95" s="675"/>
      <c r="B95" s="214" t="s">
        <v>101</v>
      </c>
      <c r="C95" s="208">
        <v>1.093</v>
      </c>
      <c r="D95" s="208">
        <f>G95+H95+I95+J95+K95+L95+M95+N95+O95</f>
        <v>1.093</v>
      </c>
      <c r="E95" s="208">
        <v>0</v>
      </c>
      <c r="F95" s="209">
        <v>0</v>
      </c>
      <c r="G95" s="210">
        <v>0.22</v>
      </c>
      <c r="H95" s="208">
        <v>0.70299999999999996</v>
      </c>
      <c r="I95" s="208">
        <v>0</v>
      </c>
      <c r="J95" s="208">
        <v>0</v>
      </c>
      <c r="K95" s="208">
        <v>0.13400000000000001</v>
      </c>
      <c r="L95" s="208">
        <v>0</v>
      </c>
      <c r="M95" s="208">
        <v>0</v>
      </c>
      <c r="N95" s="208">
        <v>0</v>
      </c>
      <c r="O95" s="209">
        <v>3.5999999999999997E-2</v>
      </c>
    </row>
    <row r="96" spans="1:16" ht="12.75" thickTop="1" thickBot="1" x14ac:dyDescent="0.25">
      <c r="A96" s="690"/>
      <c r="B96" s="271" t="s">
        <v>366</v>
      </c>
      <c r="C96" s="225">
        <f>SUM(C82:C95)</f>
        <v>48.412999999999997</v>
      </c>
      <c r="D96" s="225">
        <f>SUM(D82:D95)</f>
        <v>49.387</v>
      </c>
      <c r="E96" s="225">
        <f t="shared" ref="E96:O96" si="15">SUM(E82:E95)</f>
        <v>0.873</v>
      </c>
      <c r="F96" s="226">
        <f t="shared" si="15"/>
        <v>2.1350000000000002</v>
      </c>
      <c r="G96" s="224">
        <f t="shared" si="15"/>
        <v>26.376999999999995</v>
      </c>
      <c r="H96" s="225">
        <f t="shared" si="15"/>
        <v>1.7919999999999998</v>
      </c>
      <c r="I96" s="225">
        <f t="shared" si="15"/>
        <v>6.0000000000000001E-3</v>
      </c>
      <c r="J96" s="225">
        <f t="shared" si="15"/>
        <v>1.1500000000000001</v>
      </c>
      <c r="K96" s="225">
        <f t="shared" si="15"/>
        <v>1.7810000000000001</v>
      </c>
      <c r="L96" s="225">
        <f t="shared" si="15"/>
        <v>0</v>
      </c>
      <c r="M96" s="225">
        <f t="shared" si="15"/>
        <v>0.86099999999999999</v>
      </c>
      <c r="N96" s="225">
        <f t="shared" si="15"/>
        <v>15.65</v>
      </c>
      <c r="O96" s="226">
        <f t="shared" si="15"/>
        <v>1.7700000000000002</v>
      </c>
    </row>
    <row r="97" spans="1:15" x14ac:dyDescent="0.2">
      <c r="A97" s="688" t="s">
        <v>406</v>
      </c>
      <c r="B97" s="689"/>
      <c r="C97" s="272">
        <f>C21+C43+C49</f>
        <v>85.115399999999994</v>
      </c>
      <c r="D97" s="272">
        <f t="shared" ref="D97:O97" si="16">D21+D43+D49</f>
        <v>94.620400000000004</v>
      </c>
      <c r="E97" s="272">
        <f t="shared" si="16"/>
        <v>4.8520000000000003</v>
      </c>
      <c r="F97" s="273">
        <f t="shared" si="16"/>
        <v>0.50700000000000001</v>
      </c>
      <c r="G97" s="274">
        <f t="shared" si="16"/>
        <v>53.432999999999993</v>
      </c>
      <c r="H97" s="272">
        <f t="shared" si="16"/>
        <v>9.4619999999999997</v>
      </c>
      <c r="I97" s="272">
        <f t="shared" si="16"/>
        <v>0</v>
      </c>
      <c r="J97" s="272">
        <f t="shared" si="16"/>
        <v>0.91639999999999999</v>
      </c>
      <c r="K97" s="272">
        <f t="shared" si="16"/>
        <v>22.757999999999999</v>
      </c>
      <c r="L97" s="272">
        <f t="shared" si="16"/>
        <v>0</v>
      </c>
      <c r="M97" s="272">
        <f t="shared" si="16"/>
        <v>6.5149999999999997</v>
      </c>
      <c r="N97" s="272">
        <f t="shared" si="16"/>
        <v>0</v>
      </c>
      <c r="O97" s="273">
        <f t="shared" si="16"/>
        <v>1.536</v>
      </c>
    </row>
    <row r="98" spans="1:15" x14ac:dyDescent="0.2">
      <c r="A98" s="677" t="s">
        <v>407</v>
      </c>
      <c r="B98" s="678"/>
      <c r="C98" s="275">
        <f>C5+C15+C32+C96</f>
        <v>93.458999999999989</v>
      </c>
      <c r="D98" s="275">
        <f t="shared" ref="D98:O98" si="17">D5+D15+D32+D96</f>
        <v>106.30200000000001</v>
      </c>
      <c r="E98" s="275">
        <f t="shared" si="17"/>
        <v>5.7380000000000004</v>
      </c>
      <c r="F98" s="276">
        <f t="shared" si="17"/>
        <v>3.0290000000000004</v>
      </c>
      <c r="G98" s="277">
        <f t="shared" si="17"/>
        <v>50.340999999999994</v>
      </c>
      <c r="H98" s="275">
        <f t="shared" si="17"/>
        <v>3.4509999999999996</v>
      </c>
      <c r="I98" s="275">
        <f t="shared" si="17"/>
        <v>0.69899999999999995</v>
      </c>
      <c r="J98" s="275">
        <f t="shared" si="17"/>
        <v>1.5590000000000002</v>
      </c>
      <c r="K98" s="275">
        <f t="shared" si="17"/>
        <v>11.349000000000002</v>
      </c>
      <c r="L98" s="275">
        <f t="shared" si="17"/>
        <v>0</v>
      </c>
      <c r="M98" s="275">
        <f t="shared" si="17"/>
        <v>8.3210000000000015</v>
      </c>
      <c r="N98" s="275">
        <f t="shared" si="17"/>
        <v>25.997999999999998</v>
      </c>
      <c r="O98" s="276">
        <f t="shared" si="17"/>
        <v>4.3340000000000005</v>
      </c>
    </row>
    <row r="99" spans="1:15" ht="12" thickBot="1" x14ac:dyDescent="0.25">
      <c r="A99" s="679" t="s">
        <v>408</v>
      </c>
      <c r="B99" s="680"/>
      <c r="C99" s="193">
        <f>C80</f>
        <v>34.950000000000003</v>
      </c>
      <c r="D99" s="193">
        <f t="shared" ref="D99:O99" si="18">D80</f>
        <v>27.364000000000001</v>
      </c>
      <c r="E99" s="193">
        <f t="shared" si="18"/>
        <v>1.31</v>
      </c>
      <c r="F99" s="194">
        <f t="shared" si="18"/>
        <v>8.879999999999999</v>
      </c>
      <c r="G99" s="224">
        <f t="shared" si="18"/>
        <v>6.5760000000000005</v>
      </c>
      <c r="H99" s="225">
        <f t="shared" si="18"/>
        <v>1.7310000000000003</v>
      </c>
      <c r="I99" s="225">
        <f t="shared" si="18"/>
        <v>0.14000000000000001</v>
      </c>
      <c r="J99" s="225">
        <f t="shared" si="18"/>
        <v>2.48</v>
      </c>
      <c r="K99" s="225">
        <f t="shared" si="18"/>
        <v>2.9389999999999996</v>
      </c>
      <c r="L99" s="225">
        <f t="shared" si="18"/>
        <v>0</v>
      </c>
      <c r="M99" s="225">
        <f t="shared" si="18"/>
        <v>12.818</v>
      </c>
      <c r="N99" s="225">
        <f t="shared" si="18"/>
        <v>0.5</v>
      </c>
      <c r="O99" s="226">
        <f t="shared" si="18"/>
        <v>0.18</v>
      </c>
    </row>
    <row r="100" spans="1:15" ht="12" thickBot="1" x14ac:dyDescent="0.25">
      <c r="A100" s="681" t="s">
        <v>380</v>
      </c>
      <c r="B100" s="682"/>
      <c r="C100" s="228">
        <f t="shared" ref="C100:O100" si="19">C96+C81+C43+C33+C15+C5</f>
        <v>213.52439999999999</v>
      </c>
      <c r="D100" s="228">
        <f t="shared" si="19"/>
        <v>228.28640000000001</v>
      </c>
      <c r="E100" s="228">
        <f t="shared" si="19"/>
        <v>11.899999999999999</v>
      </c>
      <c r="F100" s="229">
        <f t="shared" si="19"/>
        <v>12.415999999999999</v>
      </c>
      <c r="G100" s="227">
        <f t="shared" si="19"/>
        <v>110.34999999999998</v>
      </c>
      <c r="H100" s="228">
        <f t="shared" si="19"/>
        <v>14.644</v>
      </c>
      <c r="I100" s="228">
        <f t="shared" si="19"/>
        <v>0.83899999999999997</v>
      </c>
      <c r="J100" s="228">
        <f t="shared" si="19"/>
        <v>4.9554000000000009</v>
      </c>
      <c r="K100" s="228">
        <f t="shared" si="19"/>
        <v>37.045999999999999</v>
      </c>
      <c r="L100" s="228">
        <f t="shared" si="19"/>
        <v>0</v>
      </c>
      <c r="M100" s="228">
        <f t="shared" si="19"/>
        <v>27.654</v>
      </c>
      <c r="N100" s="228">
        <f t="shared" si="19"/>
        <v>26.497999999999998</v>
      </c>
      <c r="O100" s="229">
        <f t="shared" si="19"/>
        <v>6.05</v>
      </c>
    </row>
    <row r="101" spans="1:15" x14ac:dyDescent="0.2">
      <c r="A101" s="594" t="s">
        <v>511</v>
      </c>
      <c r="B101" s="254"/>
      <c r="C101" s="255"/>
      <c r="D101" s="255"/>
      <c r="E101" s="255"/>
      <c r="F101" s="255"/>
      <c r="G101" s="255"/>
      <c r="H101" s="255"/>
      <c r="I101" s="255"/>
      <c r="J101" s="255"/>
      <c r="K101" s="255"/>
      <c r="L101" s="255"/>
      <c r="M101" s="255"/>
      <c r="N101" s="255"/>
      <c r="O101" s="255"/>
    </row>
    <row r="102" spans="1:15" x14ac:dyDescent="0.2">
      <c r="A102" s="185" t="s">
        <v>512</v>
      </c>
      <c r="B102" s="257"/>
      <c r="J102" s="185" t="s">
        <v>405</v>
      </c>
    </row>
    <row r="103" spans="1:15" x14ac:dyDescent="0.2">
      <c r="A103" s="185" t="s">
        <v>528</v>
      </c>
    </row>
    <row r="104" spans="1:15" ht="22.5" customHeight="1" x14ac:dyDescent="0.2">
      <c r="A104" s="667" t="s">
        <v>527</v>
      </c>
      <c r="B104" s="667"/>
      <c r="C104" s="667"/>
      <c r="D104" s="667"/>
      <c r="E104" s="667"/>
      <c r="F104" s="667"/>
      <c r="G104" s="667"/>
      <c r="H104" s="667"/>
      <c r="I104" s="667"/>
      <c r="J104" s="667"/>
      <c r="K104" s="667"/>
      <c r="L104" s="667"/>
      <c r="M104" s="667"/>
      <c r="N104" s="667"/>
    </row>
    <row r="114" spans="5:5" x14ac:dyDescent="0.2">
      <c r="E114" s="185" t="s">
        <v>405</v>
      </c>
    </row>
  </sheetData>
  <mergeCells count="17">
    <mergeCell ref="A1:A2"/>
    <mergeCell ref="B1:O1"/>
    <mergeCell ref="A3:A5"/>
    <mergeCell ref="A6:A15"/>
    <mergeCell ref="A97:B97"/>
    <mergeCell ref="A44:A49"/>
    <mergeCell ref="A50:A80"/>
    <mergeCell ref="A81:B81"/>
    <mergeCell ref="A82:A96"/>
    <mergeCell ref="A104:N104"/>
    <mergeCell ref="A16:A21"/>
    <mergeCell ref="A22:A32"/>
    <mergeCell ref="A33:B33"/>
    <mergeCell ref="A34:A43"/>
    <mergeCell ref="A98:B98"/>
    <mergeCell ref="A99:B99"/>
    <mergeCell ref="A100:B100"/>
  </mergeCells>
  <pageMargins left="0.7" right="0.7" top="0.75" bottom="0.75" header="0.3" footer="0.3"/>
  <pageSetup paperSize="5" scale="95" fitToHeight="0" orientation="landscape" r:id="rId1"/>
  <rowBreaks count="2" manualBreakCount="2">
    <brk id="43" max="16383" man="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112"/>
  <sheetViews>
    <sheetView zoomScale="110" zoomScaleNormal="110" zoomScaleSheetLayoutView="100" workbookViewId="0">
      <pane ySplit="2" topLeftCell="A3" activePane="bottomLeft" state="frozen"/>
      <selection pane="bottomLeft" activeCell="G106" sqref="G106"/>
    </sheetView>
  </sheetViews>
  <sheetFormatPr defaultColWidth="9.140625" defaultRowHeight="11.25" x14ac:dyDescent="0.2"/>
  <cols>
    <col min="1" max="1" width="9.140625" style="284"/>
    <col min="2" max="2" width="32.42578125" style="279" customWidth="1"/>
    <col min="3" max="6" width="9.85546875" style="283" customWidth="1"/>
    <col min="7" max="8" width="11.85546875" style="283" customWidth="1"/>
    <col min="9" max="9" width="9.5703125" style="283" customWidth="1"/>
    <col min="10" max="10" width="7.28515625" style="285" customWidth="1"/>
    <col min="11" max="11" width="8.85546875" style="286" customWidth="1"/>
    <col min="12" max="12" width="10.140625" style="287" customWidth="1"/>
    <col min="13" max="13" width="9.140625" style="287"/>
    <col min="14" max="14" width="9.42578125" style="283" customWidth="1"/>
    <col min="15" max="15" width="12.7109375" style="283" customWidth="1"/>
    <col min="16" max="16" width="10.42578125" style="285" customWidth="1"/>
    <col min="17" max="17" width="9.5703125" style="285" customWidth="1"/>
    <col min="18" max="18" width="10.28515625" style="285" customWidth="1"/>
    <col min="19" max="19" width="11.140625" style="283" customWidth="1"/>
    <col min="20" max="20" width="10.5703125" style="279" bestFit="1" customWidth="1"/>
    <col min="21" max="16384" width="9.140625" style="279"/>
  </cols>
  <sheetData>
    <row r="1" spans="1:19" ht="14.25" customHeight="1" thickBot="1" x14ac:dyDescent="0.25">
      <c r="A1" s="723" t="s">
        <v>359</v>
      </c>
      <c r="B1" s="729" t="s">
        <v>500</v>
      </c>
      <c r="C1" s="731" t="s">
        <v>467</v>
      </c>
      <c r="D1" s="714"/>
      <c r="E1" s="714" t="s">
        <v>468</v>
      </c>
      <c r="F1" s="714"/>
      <c r="G1" s="714" t="s">
        <v>469</v>
      </c>
      <c r="H1" s="715"/>
      <c r="I1" s="723" t="s">
        <v>518</v>
      </c>
      <c r="J1" s="704" t="s">
        <v>503</v>
      </c>
      <c r="K1" s="705"/>
      <c r="L1" s="705"/>
      <c r="M1" s="706"/>
      <c r="N1" s="707" t="s">
        <v>505</v>
      </c>
      <c r="O1" s="708"/>
      <c r="P1" s="709"/>
      <c r="Q1" s="704" t="s">
        <v>504</v>
      </c>
      <c r="R1" s="705"/>
      <c r="S1" s="706"/>
    </row>
    <row r="2" spans="1:19" s="278" customFormat="1" ht="34.5" thickBot="1" x14ac:dyDescent="0.25">
      <c r="A2" s="724"/>
      <c r="B2" s="730"/>
      <c r="C2" s="344">
        <v>2020</v>
      </c>
      <c r="D2" s="345">
        <v>2045</v>
      </c>
      <c r="E2" s="345">
        <v>2020</v>
      </c>
      <c r="F2" s="345">
        <v>2045</v>
      </c>
      <c r="G2" s="345">
        <v>2020</v>
      </c>
      <c r="H2" s="346">
        <v>2045</v>
      </c>
      <c r="I2" s="724"/>
      <c r="J2" s="347" t="s">
        <v>502</v>
      </c>
      <c r="K2" s="348" t="s">
        <v>397</v>
      </c>
      <c r="L2" s="348" t="s">
        <v>370</v>
      </c>
      <c r="M2" s="349" t="s">
        <v>373</v>
      </c>
      <c r="N2" s="344" t="s">
        <v>509</v>
      </c>
      <c r="O2" s="345" t="s">
        <v>508</v>
      </c>
      <c r="P2" s="346" t="s">
        <v>370</v>
      </c>
      <c r="Q2" s="344" t="s">
        <v>506</v>
      </c>
      <c r="R2" s="345" t="s">
        <v>510</v>
      </c>
      <c r="S2" s="346" t="s">
        <v>507</v>
      </c>
    </row>
    <row r="3" spans="1:19" x14ac:dyDescent="0.2">
      <c r="A3" s="725" t="s">
        <v>415</v>
      </c>
      <c r="B3" s="433" t="s">
        <v>409</v>
      </c>
      <c r="C3" s="370">
        <v>216976</v>
      </c>
      <c r="D3" s="371">
        <v>264817</v>
      </c>
      <c r="E3" s="290">
        <v>0</v>
      </c>
      <c r="F3" s="290">
        <v>0</v>
      </c>
      <c r="G3" s="371">
        <f>C3-E3</f>
        <v>216976</v>
      </c>
      <c r="H3" s="372">
        <f>D3-F3</f>
        <v>264817</v>
      </c>
      <c r="I3" s="351">
        <f>H3-G3</f>
        <v>47841</v>
      </c>
      <c r="J3" s="352">
        <f>'2020 RW by County'!F3</f>
        <v>3.8929999999999998</v>
      </c>
      <c r="K3" s="353">
        <f>'2020 RW by County'!G3</f>
        <v>3.24</v>
      </c>
      <c r="L3" s="354">
        <f>'2020 RW by County'!H3</f>
        <v>0</v>
      </c>
      <c r="M3" s="355">
        <f>'2020 RW by County'!K3</f>
        <v>0.89400000000000002</v>
      </c>
      <c r="N3" s="352">
        <f>(I3*0.95)*73/1000000</f>
        <v>3.3177733499999995</v>
      </c>
      <c r="O3" s="354">
        <f>N3*0.75</f>
        <v>2.4883300124999996</v>
      </c>
      <c r="P3" s="355">
        <v>0</v>
      </c>
      <c r="Q3" s="352">
        <f>J3+N3</f>
        <v>7.2107733499999993</v>
      </c>
      <c r="R3" s="354">
        <f>L3+P3</f>
        <v>0</v>
      </c>
      <c r="S3" s="355">
        <f>K3+O3+P3</f>
        <v>5.7283300124999998</v>
      </c>
    </row>
    <row r="4" spans="1:19" ht="12" thickBot="1" x14ac:dyDescent="0.25">
      <c r="A4" s="726"/>
      <c r="B4" s="434" t="s">
        <v>410</v>
      </c>
      <c r="C4" s="412" t="s">
        <v>501</v>
      </c>
      <c r="D4" s="413" t="s">
        <v>501</v>
      </c>
      <c r="E4" s="413" t="s">
        <v>501</v>
      </c>
      <c r="F4" s="413" t="s">
        <v>501</v>
      </c>
      <c r="G4" s="413" t="s">
        <v>501</v>
      </c>
      <c r="H4" s="414" t="s">
        <v>501</v>
      </c>
      <c r="I4" s="415" t="s">
        <v>501</v>
      </c>
      <c r="J4" s="399">
        <f>'2020 RW by County'!F4</f>
        <v>5.0000000000000001E-3</v>
      </c>
      <c r="K4" s="400">
        <f>'2020 RW by County'!G4</f>
        <v>0</v>
      </c>
      <c r="L4" s="401">
        <f>'2020 RW by County'!H4</f>
        <v>0</v>
      </c>
      <c r="M4" s="402">
        <f>'2020 RW by County'!K4</f>
        <v>0</v>
      </c>
      <c r="N4" s="399" t="s">
        <v>501</v>
      </c>
      <c r="O4" s="401" t="s">
        <v>501</v>
      </c>
      <c r="P4" s="402">
        <v>0</v>
      </c>
      <c r="Q4" s="399">
        <f>J4</f>
        <v>5.0000000000000001E-3</v>
      </c>
      <c r="R4" s="401">
        <f>L4+P4</f>
        <v>0</v>
      </c>
      <c r="S4" s="402">
        <f>K4+P4</f>
        <v>0</v>
      </c>
    </row>
    <row r="5" spans="1:19" s="284" customFormat="1" ht="12.75" thickTop="1" thickBot="1" x14ac:dyDescent="0.25">
      <c r="A5" s="727"/>
      <c r="B5" s="421" t="s">
        <v>414</v>
      </c>
      <c r="C5" s="405">
        <f>SUM(C3:C4)</f>
        <v>216976</v>
      </c>
      <c r="D5" s="406">
        <f t="shared" ref="D5:S5" si="0">SUM(D3:D4)</f>
        <v>264817</v>
      </c>
      <c r="E5" s="416">
        <f t="shared" si="0"/>
        <v>0</v>
      </c>
      <c r="F5" s="416">
        <f t="shared" si="0"/>
        <v>0</v>
      </c>
      <c r="G5" s="406">
        <f t="shared" si="0"/>
        <v>216976</v>
      </c>
      <c r="H5" s="407">
        <f t="shared" si="0"/>
        <v>264817</v>
      </c>
      <c r="I5" s="425">
        <f t="shared" ref="I5:I75" si="1">H5-G5</f>
        <v>47841</v>
      </c>
      <c r="J5" s="426">
        <f t="shared" si="0"/>
        <v>3.8979999999999997</v>
      </c>
      <c r="K5" s="427">
        <f t="shared" si="0"/>
        <v>3.24</v>
      </c>
      <c r="L5" s="427">
        <f t="shared" si="0"/>
        <v>0</v>
      </c>
      <c r="M5" s="428">
        <f t="shared" si="0"/>
        <v>0.89400000000000002</v>
      </c>
      <c r="N5" s="426">
        <f t="shared" si="0"/>
        <v>3.3177733499999995</v>
      </c>
      <c r="O5" s="427">
        <f>SUM(O3:O4)</f>
        <v>2.4883300124999996</v>
      </c>
      <c r="P5" s="428">
        <f t="shared" si="0"/>
        <v>0</v>
      </c>
      <c r="Q5" s="426">
        <f>SUM(Q3:Q4)</f>
        <v>7.2157733499999992</v>
      </c>
      <c r="R5" s="427">
        <f>SUM(R3:R4)</f>
        <v>0</v>
      </c>
      <c r="S5" s="428">
        <f t="shared" si="0"/>
        <v>5.7283300124999998</v>
      </c>
    </row>
    <row r="6" spans="1:19" ht="22.5" x14ac:dyDescent="0.2">
      <c r="A6" s="725" t="s">
        <v>216</v>
      </c>
      <c r="B6" s="377" t="s">
        <v>416</v>
      </c>
      <c r="C6" s="360" t="s">
        <v>501</v>
      </c>
      <c r="D6" s="361" t="s">
        <v>501</v>
      </c>
      <c r="E6" s="361" t="s">
        <v>501</v>
      </c>
      <c r="F6" s="361" t="s">
        <v>501</v>
      </c>
      <c r="G6" s="361" t="s">
        <v>501</v>
      </c>
      <c r="H6" s="362" t="s">
        <v>501</v>
      </c>
      <c r="I6" s="350" t="s">
        <v>501</v>
      </c>
      <c r="J6" s="338">
        <f>'2020 RW by County'!F6</f>
        <v>0</v>
      </c>
      <c r="K6" s="339">
        <f>'2020 RW by County'!G6</f>
        <v>5.1829999999999998</v>
      </c>
      <c r="L6" s="340">
        <f>'2020 RW by County'!H6</f>
        <v>0</v>
      </c>
      <c r="M6" s="341">
        <f>'2020 RW by County'!K6</f>
        <v>0</v>
      </c>
      <c r="N6" s="338" t="s">
        <v>501</v>
      </c>
      <c r="O6" s="340" t="s">
        <v>501</v>
      </c>
      <c r="P6" s="341">
        <v>0</v>
      </c>
      <c r="Q6" s="338">
        <f>J6</f>
        <v>0</v>
      </c>
      <c r="R6" s="340">
        <f t="shared" ref="R6" si="2">L6+P6</f>
        <v>0</v>
      </c>
      <c r="S6" s="341">
        <f>K6+P6</f>
        <v>5.1829999999999998</v>
      </c>
    </row>
    <row r="7" spans="1:19" x14ac:dyDescent="0.2">
      <c r="A7" s="726"/>
      <c r="B7" s="375" t="s">
        <v>417</v>
      </c>
      <c r="C7" s="331">
        <v>2747.0959156099998</v>
      </c>
      <c r="D7" s="288">
        <v>2771.6152844600001</v>
      </c>
      <c r="E7" s="290">
        <v>0</v>
      </c>
      <c r="F7" s="290">
        <v>0</v>
      </c>
      <c r="G7" s="288">
        <f t="shared" ref="G7" si="3">C7-E7</f>
        <v>2747.0959156099998</v>
      </c>
      <c r="H7" s="332">
        <f t="shared" ref="H7" si="4">D7-F7</f>
        <v>2771.6152844600001</v>
      </c>
      <c r="I7" s="321">
        <f t="shared" si="1"/>
        <v>24.519368850000319</v>
      </c>
      <c r="J7" s="315">
        <f>'2020 RW by County'!F7</f>
        <v>3.5000000000000003E-2</v>
      </c>
      <c r="K7" s="305">
        <f>'2020 RW by County'!G7</f>
        <v>3.5000000000000003E-2</v>
      </c>
      <c r="L7" s="304">
        <f>'2020 RW by County'!H7</f>
        <v>0</v>
      </c>
      <c r="M7" s="316">
        <f>'2020 RW by County'!K7</f>
        <v>0</v>
      </c>
      <c r="N7" s="315">
        <f t="shared" ref="N7:N14" si="5">(I7*0.95)*73/1000000</f>
        <v>1.700418229747522E-3</v>
      </c>
      <c r="O7" s="304">
        <f t="shared" ref="O7:O31" si="6">N7*0.75</f>
        <v>1.2753136723106415E-3</v>
      </c>
      <c r="P7" s="316">
        <v>0</v>
      </c>
      <c r="Q7" s="315">
        <f t="shared" ref="Q7:Q14" si="7">J7+N7</f>
        <v>3.6700418229747525E-2</v>
      </c>
      <c r="R7" s="304">
        <f t="shared" ref="R7:R14" si="8">L7+P7</f>
        <v>0</v>
      </c>
      <c r="S7" s="316">
        <f t="shared" ref="S7:S14" si="9">K7+O7+P7</f>
        <v>3.6275313672310648E-2</v>
      </c>
    </row>
    <row r="8" spans="1:19" x14ac:dyDescent="0.2">
      <c r="A8" s="726"/>
      <c r="B8" s="375" t="s">
        <v>418</v>
      </c>
      <c r="C8" s="331">
        <v>36070.2295332672</v>
      </c>
      <c r="D8" s="288">
        <v>53647.957125314198</v>
      </c>
      <c r="E8" s="288">
        <v>3015.5118431415199</v>
      </c>
      <c r="F8" s="288">
        <v>3430.8894199870201</v>
      </c>
      <c r="G8" s="288">
        <f t="shared" ref="G8" si="10">C8-E8</f>
        <v>33054.717690125683</v>
      </c>
      <c r="H8" s="332">
        <f t="shared" ref="H8" si="11">D8-F8</f>
        <v>50217.067705327179</v>
      </c>
      <c r="I8" s="321">
        <f t="shared" si="1"/>
        <v>17162.350015201497</v>
      </c>
      <c r="J8" s="315">
        <f>'2020 RW by County'!F8</f>
        <v>3.0779999999999998</v>
      </c>
      <c r="K8" s="305">
        <f>'2020 RW by County'!G8</f>
        <v>3.4380000000000006</v>
      </c>
      <c r="L8" s="304">
        <f>'2020 RW by County'!H8</f>
        <v>0.36</v>
      </c>
      <c r="M8" s="316">
        <f>'2020 RW by County'!K8</f>
        <v>0</v>
      </c>
      <c r="N8" s="315">
        <f t="shared" si="5"/>
        <v>1.1902089735542238</v>
      </c>
      <c r="O8" s="304">
        <f t="shared" si="6"/>
        <v>0.89265673016566782</v>
      </c>
      <c r="P8" s="316">
        <v>0</v>
      </c>
      <c r="Q8" s="315">
        <f t="shared" si="7"/>
        <v>4.2682089735542235</v>
      </c>
      <c r="R8" s="304">
        <f t="shared" si="8"/>
        <v>0.36</v>
      </c>
      <c r="S8" s="316">
        <f t="shared" si="9"/>
        <v>4.3306567301656687</v>
      </c>
    </row>
    <row r="9" spans="1:19" ht="22.5" x14ac:dyDescent="0.2">
      <c r="A9" s="726"/>
      <c r="B9" s="376" t="s">
        <v>419</v>
      </c>
      <c r="C9" s="329" t="s">
        <v>501</v>
      </c>
      <c r="D9" s="289" t="s">
        <v>501</v>
      </c>
      <c r="E9" s="290">
        <v>0</v>
      </c>
      <c r="F9" s="290">
        <v>0</v>
      </c>
      <c r="G9" s="289" t="s">
        <v>501</v>
      </c>
      <c r="H9" s="330" t="s">
        <v>501</v>
      </c>
      <c r="I9" s="323" t="s">
        <v>501</v>
      </c>
      <c r="J9" s="315">
        <f>'2020 RW by County'!F9</f>
        <v>0.51900000000000002</v>
      </c>
      <c r="K9" s="305">
        <f>'2020 RW by County'!G9</f>
        <v>0.42899999999999999</v>
      </c>
      <c r="L9" s="304">
        <f>'2020 RW by County'!H9</f>
        <v>0.22700000000000001</v>
      </c>
      <c r="M9" s="316">
        <f>'2020 RW by County'!K9</f>
        <v>0</v>
      </c>
      <c r="N9" s="315" t="s">
        <v>501</v>
      </c>
      <c r="O9" s="304" t="s">
        <v>501</v>
      </c>
      <c r="P9" s="316">
        <v>0</v>
      </c>
      <c r="Q9" s="315">
        <f>J9</f>
        <v>0.51900000000000002</v>
      </c>
      <c r="R9" s="304">
        <f t="shared" si="8"/>
        <v>0.22700000000000001</v>
      </c>
      <c r="S9" s="316">
        <f>K9+P9</f>
        <v>0.42899999999999999</v>
      </c>
    </row>
    <row r="10" spans="1:19" x14ac:dyDescent="0.2">
      <c r="A10" s="726"/>
      <c r="B10" s="376" t="s">
        <v>420</v>
      </c>
      <c r="C10" s="331">
        <v>16314.7133509745</v>
      </c>
      <c r="D10" s="288">
        <v>28072.091600155301</v>
      </c>
      <c r="E10" s="288">
        <v>5842.4827215424702</v>
      </c>
      <c r="F10" s="288">
        <v>7062.0617704154593</v>
      </c>
      <c r="G10" s="288">
        <f t="shared" ref="G10:G14" si="12">C10-E10</f>
        <v>10472.23062943203</v>
      </c>
      <c r="H10" s="332">
        <f t="shared" ref="H10:H14" si="13">D10-F10</f>
        <v>21010.02982973984</v>
      </c>
      <c r="I10" s="321">
        <f t="shared" si="1"/>
        <v>10537.799200307811</v>
      </c>
      <c r="J10" s="315">
        <f>'2020 RW by County'!F10</f>
        <v>0.73699999999999999</v>
      </c>
      <c r="K10" s="305">
        <f>'2020 RW by County'!G10</f>
        <v>0.75500000000000012</v>
      </c>
      <c r="L10" s="304">
        <f>'2020 RW by County'!H10</f>
        <v>1.7999999999999999E-2</v>
      </c>
      <c r="M10" s="316">
        <f>'2020 RW by County'!K10</f>
        <v>0</v>
      </c>
      <c r="N10" s="315">
        <f t="shared" si="5"/>
        <v>0.73079637454134672</v>
      </c>
      <c r="O10" s="304">
        <f t="shared" si="6"/>
        <v>0.54809728090601006</v>
      </c>
      <c r="P10" s="316">
        <v>0</v>
      </c>
      <c r="Q10" s="315">
        <f t="shared" si="7"/>
        <v>1.4677963745413467</v>
      </c>
      <c r="R10" s="304">
        <f t="shared" si="8"/>
        <v>1.7999999999999999E-2</v>
      </c>
      <c r="S10" s="316">
        <f t="shared" si="9"/>
        <v>1.3030972809060102</v>
      </c>
    </row>
    <row r="11" spans="1:19" x14ac:dyDescent="0.2">
      <c r="A11" s="726"/>
      <c r="B11" s="376" t="s">
        <v>421</v>
      </c>
      <c r="C11" s="329" t="s">
        <v>199</v>
      </c>
      <c r="D11" s="289" t="s">
        <v>199</v>
      </c>
      <c r="E11" s="289" t="s">
        <v>199</v>
      </c>
      <c r="F11" s="289" t="s">
        <v>199</v>
      </c>
      <c r="G11" s="289" t="s">
        <v>501</v>
      </c>
      <c r="H11" s="330" t="s">
        <v>501</v>
      </c>
      <c r="I11" s="323" t="s">
        <v>501</v>
      </c>
      <c r="J11" s="315">
        <f>'2020 RW by County'!F11</f>
        <v>0.59899999999999998</v>
      </c>
      <c r="K11" s="305">
        <f>'2020 RW by County'!G11</f>
        <v>0.55500000000000005</v>
      </c>
      <c r="L11" s="304">
        <f>'2020 RW by County'!H11</f>
        <v>0</v>
      </c>
      <c r="M11" s="316">
        <f>'2020 RW by County'!K11</f>
        <v>0</v>
      </c>
      <c r="N11" s="315" t="s">
        <v>501</v>
      </c>
      <c r="O11" s="304" t="s">
        <v>501</v>
      </c>
      <c r="P11" s="316">
        <v>0</v>
      </c>
      <c r="Q11" s="315">
        <f>J11</f>
        <v>0.59899999999999998</v>
      </c>
      <c r="R11" s="304">
        <f t="shared" si="8"/>
        <v>0</v>
      </c>
      <c r="S11" s="316">
        <f>K11+P11</f>
        <v>0.55500000000000005</v>
      </c>
    </row>
    <row r="12" spans="1:19" x14ac:dyDescent="0.2">
      <c r="A12" s="726"/>
      <c r="B12" s="417" t="s">
        <v>422</v>
      </c>
      <c r="C12" s="329">
        <v>15635.69216087817</v>
      </c>
      <c r="D12" s="289">
        <v>26115.23965107292</v>
      </c>
      <c r="E12" s="289">
        <v>14236.701169764729</v>
      </c>
      <c r="F12" s="289">
        <v>15206.093907462609</v>
      </c>
      <c r="G12" s="289">
        <f t="shared" si="12"/>
        <v>1398.9909911134419</v>
      </c>
      <c r="H12" s="330">
        <f t="shared" si="13"/>
        <v>10909.14574361031</v>
      </c>
      <c r="I12" s="323">
        <f t="shared" si="1"/>
        <v>9510.1547524968682</v>
      </c>
      <c r="J12" s="315">
        <f>'2020 RW by County'!F12</f>
        <v>0.34200000000000003</v>
      </c>
      <c r="K12" s="305">
        <f>'2020 RW by County'!G12</f>
        <v>0.34200000000000003</v>
      </c>
      <c r="L12" s="304">
        <f>'2020 RW by County'!H12</f>
        <v>0</v>
      </c>
      <c r="M12" s="316">
        <f>'2020 RW by County'!K12</f>
        <v>0</v>
      </c>
      <c r="N12" s="315">
        <f t="shared" si="5"/>
        <v>0.65952923208565772</v>
      </c>
      <c r="O12" s="304">
        <f t="shared" si="6"/>
        <v>0.49464692406424327</v>
      </c>
      <c r="P12" s="316">
        <v>0</v>
      </c>
      <c r="Q12" s="315">
        <f t="shared" si="7"/>
        <v>1.0015292320856577</v>
      </c>
      <c r="R12" s="304">
        <f t="shared" si="8"/>
        <v>0</v>
      </c>
      <c r="S12" s="316">
        <f t="shared" si="9"/>
        <v>0.83664692406424335</v>
      </c>
    </row>
    <row r="13" spans="1:19" x14ac:dyDescent="0.2">
      <c r="A13" s="726"/>
      <c r="B13" s="430" t="s">
        <v>423</v>
      </c>
      <c r="C13" s="329" t="s">
        <v>501</v>
      </c>
      <c r="D13" s="289" t="s">
        <v>501</v>
      </c>
      <c r="E13" s="289" t="s">
        <v>501</v>
      </c>
      <c r="F13" s="289" t="s">
        <v>501</v>
      </c>
      <c r="G13" s="289" t="s">
        <v>501</v>
      </c>
      <c r="H13" s="330" t="s">
        <v>501</v>
      </c>
      <c r="I13" s="323" t="s">
        <v>501</v>
      </c>
      <c r="J13" s="315">
        <f>'2020 RW by County'!F13</f>
        <v>1.2E-2</v>
      </c>
      <c r="K13" s="305">
        <f>'2020 RW by County'!G13</f>
        <v>1.2E-2</v>
      </c>
      <c r="L13" s="304">
        <f>'2020 RW by County'!H13</f>
        <v>0</v>
      </c>
      <c r="M13" s="316">
        <f>'2020 RW by County'!K13</f>
        <v>0</v>
      </c>
      <c r="N13" s="315" t="s">
        <v>501</v>
      </c>
      <c r="O13" s="304" t="s">
        <v>501</v>
      </c>
      <c r="P13" s="316">
        <v>0</v>
      </c>
      <c r="Q13" s="315">
        <f>J13</f>
        <v>1.2E-2</v>
      </c>
      <c r="R13" s="304">
        <f t="shared" si="8"/>
        <v>0</v>
      </c>
      <c r="S13" s="316">
        <f>K13+P13</f>
        <v>1.2E-2</v>
      </c>
    </row>
    <row r="14" spans="1:19" ht="12" thickBot="1" x14ac:dyDescent="0.25">
      <c r="A14" s="726"/>
      <c r="B14" s="432" t="s">
        <v>424</v>
      </c>
      <c r="C14" s="395">
        <v>7043.7446059518597</v>
      </c>
      <c r="D14" s="396">
        <v>13461.8839480726</v>
      </c>
      <c r="E14" s="396">
        <v>1.6706250946100001</v>
      </c>
      <c r="F14" s="396">
        <v>1.72779099311</v>
      </c>
      <c r="G14" s="396">
        <f t="shared" si="12"/>
        <v>7042.0739808572498</v>
      </c>
      <c r="H14" s="397">
        <f t="shared" si="13"/>
        <v>13460.156157079489</v>
      </c>
      <c r="I14" s="398">
        <f t="shared" si="1"/>
        <v>6418.0821762222395</v>
      </c>
      <c r="J14" s="399">
        <f>'2020 RW by County'!F14</f>
        <v>0.78500000000000003</v>
      </c>
      <c r="K14" s="400">
        <f>'2020 RW by County'!G14</f>
        <v>0.78500000000000003</v>
      </c>
      <c r="L14" s="401">
        <f>'2020 RW by County'!H14</f>
        <v>0</v>
      </c>
      <c r="M14" s="402">
        <f>'2020 RW by County'!K14</f>
        <v>0</v>
      </c>
      <c r="N14" s="399">
        <f t="shared" si="5"/>
        <v>0.44509399892101226</v>
      </c>
      <c r="O14" s="401">
        <f t="shared" si="6"/>
        <v>0.33382049919075918</v>
      </c>
      <c r="P14" s="402">
        <v>0</v>
      </c>
      <c r="Q14" s="399">
        <f t="shared" si="7"/>
        <v>1.2300939989210122</v>
      </c>
      <c r="R14" s="401">
        <f t="shared" si="8"/>
        <v>0</v>
      </c>
      <c r="S14" s="402">
        <f t="shared" si="9"/>
        <v>1.1188204991907593</v>
      </c>
    </row>
    <row r="15" spans="1:19" s="284" customFormat="1" ht="12.75" thickTop="1" thickBot="1" x14ac:dyDescent="0.25">
      <c r="A15" s="727"/>
      <c r="B15" s="404" t="s">
        <v>411</v>
      </c>
      <c r="C15" s="422">
        <f>SUM(C6:C14)</f>
        <v>77811.475566681722</v>
      </c>
      <c r="D15" s="423">
        <f t="shared" ref="D15:S15" si="14">SUM(D6:D14)</f>
        <v>124068.78760907502</v>
      </c>
      <c r="E15" s="423">
        <f t="shared" si="14"/>
        <v>23096.366359543328</v>
      </c>
      <c r="F15" s="423">
        <f t="shared" si="14"/>
        <v>25700.772888858202</v>
      </c>
      <c r="G15" s="423">
        <f t="shared" si="14"/>
        <v>54715.109207138397</v>
      </c>
      <c r="H15" s="424">
        <f t="shared" si="14"/>
        <v>98368.014720216815</v>
      </c>
      <c r="I15" s="389">
        <f t="shared" si="1"/>
        <v>43652.905513078418</v>
      </c>
      <c r="J15" s="408">
        <f t="shared" si="14"/>
        <v>6.1069999999999993</v>
      </c>
      <c r="K15" s="409">
        <f t="shared" si="14"/>
        <v>11.534000000000002</v>
      </c>
      <c r="L15" s="409">
        <f t="shared" si="14"/>
        <v>0.60499999999999998</v>
      </c>
      <c r="M15" s="410">
        <f t="shared" si="14"/>
        <v>0</v>
      </c>
      <c r="N15" s="408">
        <f t="shared" si="14"/>
        <v>3.0273289973319879</v>
      </c>
      <c r="O15" s="409">
        <f t="shared" si="14"/>
        <v>2.2704967479989908</v>
      </c>
      <c r="P15" s="410">
        <f t="shared" si="14"/>
        <v>0</v>
      </c>
      <c r="Q15" s="408">
        <f t="shared" si="14"/>
        <v>9.1343289973319877</v>
      </c>
      <c r="R15" s="409">
        <f t="shared" si="14"/>
        <v>0.60499999999999998</v>
      </c>
      <c r="S15" s="410">
        <f t="shared" si="14"/>
        <v>13.804496747998995</v>
      </c>
    </row>
    <row r="16" spans="1:19" ht="22.5" x14ac:dyDescent="0.2">
      <c r="A16" s="725" t="s">
        <v>218</v>
      </c>
      <c r="B16" s="378" t="s">
        <v>425</v>
      </c>
      <c r="C16" s="360" t="s">
        <v>501</v>
      </c>
      <c r="D16" s="361" t="s">
        <v>501</v>
      </c>
      <c r="E16" s="361" t="s">
        <v>501</v>
      </c>
      <c r="F16" s="361" t="s">
        <v>501</v>
      </c>
      <c r="G16" s="361" t="s">
        <v>501</v>
      </c>
      <c r="H16" s="362" t="s">
        <v>501</v>
      </c>
      <c r="I16" s="363" t="s">
        <v>501</v>
      </c>
      <c r="J16" s="352">
        <f>'2020 RW by County'!F16</f>
        <v>0</v>
      </c>
      <c r="K16" s="353">
        <f>'2020 RW by County'!G16</f>
        <v>26.805</v>
      </c>
      <c r="L16" s="354">
        <f>'2020 RW by County'!H16</f>
        <v>3.47</v>
      </c>
      <c r="M16" s="355">
        <f>'2020 RW by County'!K16</f>
        <v>0</v>
      </c>
      <c r="N16" s="352" t="s">
        <v>501</v>
      </c>
      <c r="O16" s="354" t="s">
        <v>501</v>
      </c>
      <c r="P16" s="364">
        <v>0</v>
      </c>
      <c r="Q16" s="352">
        <f>J16</f>
        <v>0</v>
      </c>
      <c r="R16" s="354">
        <f t="shared" ref="R16:R20" si="15">L16+P16</f>
        <v>3.47</v>
      </c>
      <c r="S16" s="355">
        <f>K16+P16</f>
        <v>26.805</v>
      </c>
    </row>
    <row r="17" spans="1:22" s="281" customFormat="1" ht="22.5" x14ac:dyDescent="0.2">
      <c r="A17" s="726"/>
      <c r="B17" s="431" t="s">
        <v>426</v>
      </c>
      <c r="C17" s="331">
        <v>115494.09995669581</v>
      </c>
      <c r="D17" s="288">
        <v>130594.66663009662</v>
      </c>
      <c r="E17" s="288">
        <v>1655.1688723221901</v>
      </c>
      <c r="F17" s="288">
        <v>1665.9225206626199</v>
      </c>
      <c r="G17" s="288">
        <f t="shared" ref="G17:G19" si="16">C17-E17</f>
        <v>113838.93108437362</v>
      </c>
      <c r="H17" s="332">
        <f t="shared" ref="H17:H19" si="17">D17-F17</f>
        <v>128928.744109434</v>
      </c>
      <c r="I17" s="321">
        <f t="shared" si="1"/>
        <v>15089.813025060386</v>
      </c>
      <c r="J17" s="315">
        <f>'2020 RW by County'!F17</f>
        <v>14.196</v>
      </c>
      <c r="K17" s="305">
        <f>'2020 RW by County'!G17</f>
        <v>3.6340000000000003</v>
      </c>
      <c r="L17" s="304">
        <f>'2020 RW by County'!H17</f>
        <v>0</v>
      </c>
      <c r="M17" s="316">
        <f>'2020 RW by County'!K17</f>
        <v>0</v>
      </c>
      <c r="N17" s="315">
        <f>(I17*0.95)*73/1000000</f>
        <v>1.0464785332879378</v>
      </c>
      <c r="O17" s="304">
        <f t="shared" si="6"/>
        <v>0.78485889996595337</v>
      </c>
      <c r="P17" s="316">
        <v>0</v>
      </c>
      <c r="Q17" s="315">
        <f t="shared" ref="Q17:Q19" si="18">J17+N17</f>
        <v>15.242478533287937</v>
      </c>
      <c r="R17" s="304">
        <f t="shared" si="15"/>
        <v>0</v>
      </c>
      <c r="S17" s="316">
        <f t="shared" ref="S17:S19" si="19">K17+O17+P17</f>
        <v>4.4188588999659535</v>
      </c>
      <c r="T17" s="282"/>
      <c r="U17" s="279"/>
      <c r="V17" s="279"/>
    </row>
    <row r="18" spans="1:22" s="281" customFormat="1" x14ac:dyDescent="0.2">
      <c r="A18" s="726"/>
      <c r="B18" s="417" t="s">
        <v>427</v>
      </c>
      <c r="C18" s="331">
        <v>271184.37767670403</v>
      </c>
      <c r="D18" s="288">
        <v>436744.76149987802</v>
      </c>
      <c r="E18" s="288">
        <v>8367.8758603484093</v>
      </c>
      <c r="F18" s="288">
        <v>11065.9679825322</v>
      </c>
      <c r="G18" s="288">
        <f t="shared" si="16"/>
        <v>262816.50181635562</v>
      </c>
      <c r="H18" s="332">
        <f t="shared" si="17"/>
        <v>425678.7935173458</v>
      </c>
      <c r="I18" s="321">
        <f>H18-G18</f>
        <v>162862.29170099017</v>
      </c>
      <c r="J18" s="315">
        <f>'2020 RW by County'!F18</f>
        <v>23.975999999999999</v>
      </c>
      <c r="K18" s="305">
        <f>'2020 RW by County'!G18</f>
        <v>8.6329999999999991</v>
      </c>
      <c r="L18" s="304">
        <f>'2020 RW by County'!H18</f>
        <v>0</v>
      </c>
      <c r="M18" s="316">
        <f>'2020 RW by County'!K18</f>
        <v>0</v>
      </c>
      <c r="N18" s="315">
        <f>(I18*0.95)*73/1000000</f>
        <v>11.294499929463667</v>
      </c>
      <c r="O18" s="304">
        <f t="shared" si="6"/>
        <v>8.4708749470977498</v>
      </c>
      <c r="P18" s="316">
        <v>1.0460000000000065</v>
      </c>
      <c r="Q18" s="315">
        <f t="shared" si="18"/>
        <v>35.270499929463668</v>
      </c>
      <c r="R18" s="304">
        <f t="shared" si="15"/>
        <v>1.0460000000000065</v>
      </c>
      <c r="S18" s="316">
        <f t="shared" si="19"/>
        <v>18.149874947097757</v>
      </c>
      <c r="T18" s="282"/>
      <c r="U18" s="279"/>
      <c r="V18" s="279"/>
    </row>
    <row r="19" spans="1:22" s="281" customFormat="1" x14ac:dyDescent="0.2">
      <c r="A19" s="726"/>
      <c r="B19" s="417" t="s">
        <v>428</v>
      </c>
      <c r="C19" s="331">
        <v>35785.0500433255</v>
      </c>
      <c r="D19" s="288">
        <v>92556.962752441701</v>
      </c>
      <c r="E19" s="288">
        <v>35.940752005390003</v>
      </c>
      <c r="F19" s="288">
        <v>36.108398950869997</v>
      </c>
      <c r="G19" s="288">
        <f t="shared" si="16"/>
        <v>35749.109291320114</v>
      </c>
      <c r="H19" s="332">
        <f t="shared" si="17"/>
        <v>92520.854353490824</v>
      </c>
      <c r="I19" s="321">
        <f>H19-G19</f>
        <v>56771.74506217071</v>
      </c>
      <c r="J19" s="315">
        <f>'2020 RW by County'!F19</f>
        <v>5.39</v>
      </c>
      <c r="K19" s="305">
        <f>'2020 RW by County'!G19</f>
        <v>13.299999999999999</v>
      </c>
      <c r="L19" s="304">
        <f>'2020 RW by County'!H19</f>
        <v>0.44</v>
      </c>
      <c r="M19" s="316">
        <f>'2020 RW by County'!K19</f>
        <v>0</v>
      </c>
      <c r="N19" s="315">
        <f>(I19*0.95)*73/1000000</f>
        <v>3.9371205200615385</v>
      </c>
      <c r="O19" s="304">
        <f t="shared" si="6"/>
        <v>2.9528403900461537</v>
      </c>
      <c r="P19" s="316">
        <v>0.88</v>
      </c>
      <c r="Q19" s="315">
        <f t="shared" si="18"/>
        <v>9.3271205200615377</v>
      </c>
      <c r="R19" s="304">
        <f t="shared" si="15"/>
        <v>1.32</v>
      </c>
      <c r="S19" s="316">
        <f t="shared" si="19"/>
        <v>17.132840390046152</v>
      </c>
      <c r="T19" s="282"/>
      <c r="U19" s="279"/>
      <c r="V19" s="279"/>
    </row>
    <row r="20" spans="1:22" ht="23.25" thickBot="1" x14ac:dyDescent="0.25">
      <c r="A20" s="726"/>
      <c r="B20" s="432" t="s">
        <v>429</v>
      </c>
      <c r="C20" s="412" t="s">
        <v>501</v>
      </c>
      <c r="D20" s="413" t="s">
        <v>501</v>
      </c>
      <c r="E20" s="413" t="s">
        <v>501</v>
      </c>
      <c r="F20" s="413" t="s">
        <v>501</v>
      </c>
      <c r="G20" s="413" t="s">
        <v>501</v>
      </c>
      <c r="H20" s="414" t="s">
        <v>501</v>
      </c>
      <c r="I20" s="415" t="s">
        <v>501</v>
      </c>
      <c r="J20" s="399">
        <f>'2020 RW by County'!F20</f>
        <v>11.257999999999999</v>
      </c>
      <c r="K20" s="400">
        <f>'2020 RW by County'!G20</f>
        <v>11.305999999999999</v>
      </c>
      <c r="L20" s="401">
        <f>'2020 RW by County'!H20</f>
        <v>0.05</v>
      </c>
      <c r="M20" s="402">
        <f>'2020 RW by County'!K20</f>
        <v>0</v>
      </c>
      <c r="N20" s="399" t="s">
        <v>501</v>
      </c>
      <c r="O20" s="401" t="s">
        <v>501</v>
      </c>
      <c r="P20" s="402">
        <v>0</v>
      </c>
      <c r="Q20" s="399">
        <f>J20</f>
        <v>11.257999999999999</v>
      </c>
      <c r="R20" s="401">
        <f t="shared" si="15"/>
        <v>0.05</v>
      </c>
      <c r="S20" s="402">
        <f>K20+P20</f>
        <v>11.305999999999999</v>
      </c>
    </row>
    <row r="21" spans="1:22" s="284" customFormat="1" ht="12.75" thickTop="1" thickBot="1" x14ac:dyDescent="0.25">
      <c r="A21" s="727"/>
      <c r="B21" s="421" t="s">
        <v>360</v>
      </c>
      <c r="C21" s="422">
        <f>SUM(C16:C20)</f>
        <v>422463.52767672535</v>
      </c>
      <c r="D21" s="423">
        <f t="shared" ref="D21:S21" si="20">SUM(D16:D20)</f>
        <v>659896.3908824164</v>
      </c>
      <c r="E21" s="423">
        <f t="shared" si="20"/>
        <v>10058.98548467599</v>
      </c>
      <c r="F21" s="423">
        <f t="shared" si="20"/>
        <v>12767.998902145689</v>
      </c>
      <c r="G21" s="423">
        <f t="shared" si="20"/>
        <v>412404.54219204932</v>
      </c>
      <c r="H21" s="424">
        <f t="shared" si="20"/>
        <v>647128.39198027062</v>
      </c>
      <c r="I21" s="425">
        <f t="shared" si="1"/>
        <v>234723.8497882213</v>
      </c>
      <c r="J21" s="426">
        <f t="shared" si="20"/>
        <v>54.819999999999993</v>
      </c>
      <c r="K21" s="427">
        <f t="shared" si="20"/>
        <v>63.677999999999997</v>
      </c>
      <c r="L21" s="427">
        <f t="shared" si="20"/>
        <v>3.96</v>
      </c>
      <c r="M21" s="428">
        <f t="shared" si="20"/>
        <v>0</v>
      </c>
      <c r="N21" s="426">
        <f t="shared" si="20"/>
        <v>16.278098982813141</v>
      </c>
      <c r="O21" s="427">
        <f t="shared" si="20"/>
        <v>12.208574237109858</v>
      </c>
      <c r="P21" s="428">
        <f t="shared" si="20"/>
        <v>1.9260000000000064</v>
      </c>
      <c r="Q21" s="426">
        <f t="shared" si="20"/>
        <v>71.098098982813141</v>
      </c>
      <c r="R21" s="427">
        <f t="shared" si="20"/>
        <v>5.8860000000000072</v>
      </c>
      <c r="S21" s="428">
        <f t="shared" si="20"/>
        <v>77.812574237109857</v>
      </c>
    </row>
    <row r="22" spans="1:22" x14ac:dyDescent="0.2">
      <c r="A22" s="725" t="s">
        <v>217</v>
      </c>
      <c r="B22" s="374" t="s">
        <v>430</v>
      </c>
      <c r="C22" s="357">
        <v>68692.092695978194</v>
      </c>
      <c r="D22" s="358">
        <v>134160.472755758</v>
      </c>
      <c r="E22" s="358">
        <v>4737.4098617695499</v>
      </c>
      <c r="F22" s="358">
        <v>6115.8695078967703</v>
      </c>
      <c r="G22" s="358">
        <f t="shared" ref="G22:G31" si="21">C22-E22</f>
        <v>63954.682834208645</v>
      </c>
      <c r="H22" s="359">
        <f t="shared" ref="H22:H31" si="22">D22-F22</f>
        <v>128044.60324786123</v>
      </c>
      <c r="I22" s="337">
        <f t="shared" si="1"/>
        <v>64089.920413652588</v>
      </c>
      <c r="J22" s="338">
        <f>'2020 RW by County'!F22</f>
        <v>2.915</v>
      </c>
      <c r="K22" s="339">
        <f>'2020 RW by County'!G22</f>
        <v>6.5419999999999998</v>
      </c>
      <c r="L22" s="340">
        <f>'2020 RW by County'!H22</f>
        <v>2.06</v>
      </c>
      <c r="M22" s="341">
        <f>'2020 RW by County'!K22</f>
        <v>0</v>
      </c>
      <c r="N22" s="338">
        <f t="shared" ref="N22:N31" si="23">(I22*0.95)*73/1000000</f>
        <v>4.4446359806868072</v>
      </c>
      <c r="O22" s="340">
        <f t="shared" si="6"/>
        <v>3.3334769855151052</v>
      </c>
      <c r="P22" s="341">
        <v>0</v>
      </c>
      <c r="Q22" s="338">
        <f t="shared" ref="Q22:Q31" si="24">J22+N22</f>
        <v>7.3596359806868072</v>
      </c>
      <c r="R22" s="340">
        <f t="shared" ref="R22:R31" si="25">L22+P22</f>
        <v>2.06</v>
      </c>
      <c r="S22" s="341">
        <f t="shared" ref="S22:S31" si="26">K22+O22+P22</f>
        <v>9.875476985515105</v>
      </c>
    </row>
    <row r="23" spans="1:22" x14ac:dyDescent="0.2">
      <c r="A23" s="726"/>
      <c r="B23" s="375" t="s">
        <v>431</v>
      </c>
      <c r="C23" s="329" t="s">
        <v>501</v>
      </c>
      <c r="D23" s="289" t="s">
        <v>501</v>
      </c>
      <c r="E23" s="289" t="s">
        <v>501</v>
      </c>
      <c r="F23" s="289" t="s">
        <v>501</v>
      </c>
      <c r="G23" s="289" t="s">
        <v>501</v>
      </c>
      <c r="H23" s="330" t="s">
        <v>501</v>
      </c>
      <c r="I23" s="323" t="s">
        <v>501</v>
      </c>
      <c r="J23" s="315">
        <f>'2020 RW by County'!F23</f>
        <v>0.13800000000000001</v>
      </c>
      <c r="K23" s="305">
        <f>'2020 RW by County'!G23</f>
        <v>0.13800000000000001</v>
      </c>
      <c r="L23" s="304">
        <f>'2020 RW by County'!H23</f>
        <v>0</v>
      </c>
      <c r="M23" s="316">
        <f>'2020 RW by County'!K23</f>
        <v>0</v>
      </c>
      <c r="N23" s="315" t="s">
        <v>501</v>
      </c>
      <c r="O23" s="304" t="s">
        <v>501</v>
      </c>
      <c r="P23" s="316">
        <v>0</v>
      </c>
      <c r="Q23" s="315">
        <f>J23</f>
        <v>0.13800000000000001</v>
      </c>
      <c r="R23" s="304">
        <f t="shared" si="25"/>
        <v>0</v>
      </c>
      <c r="S23" s="316">
        <f>K23+P23</f>
        <v>0.13800000000000001</v>
      </c>
    </row>
    <row r="24" spans="1:22" x14ac:dyDescent="0.2">
      <c r="A24" s="726"/>
      <c r="B24" s="375" t="s">
        <v>432</v>
      </c>
      <c r="C24" s="329" t="s">
        <v>501</v>
      </c>
      <c r="D24" s="289" t="s">
        <v>501</v>
      </c>
      <c r="E24" s="289" t="s">
        <v>501</v>
      </c>
      <c r="F24" s="289" t="s">
        <v>501</v>
      </c>
      <c r="G24" s="289" t="s">
        <v>501</v>
      </c>
      <c r="H24" s="330" t="s">
        <v>501</v>
      </c>
      <c r="I24" s="323" t="s">
        <v>501</v>
      </c>
      <c r="J24" s="315">
        <f>'2020 RW by County'!F24</f>
        <v>4.2999999999999997E-2</v>
      </c>
      <c r="K24" s="305">
        <f>'2020 RW by County'!G24</f>
        <v>4.2999999999999997E-2</v>
      </c>
      <c r="L24" s="304">
        <f>'2020 RW by County'!H24</f>
        <v>0</v>
      </c>
      <c r="M24" s="316">
        <f>'2020 RW by County'!K24</f>
        <v>0</v>
      </c>
      <c r="N24" s="315" t="s">
        <v>501</v>
      </c>
      <c r="O24" s="304" t="s">
        <v>501</v>
      </c>
      <c r="P24" s="316">
        <v>0</v>
      </c>
      <c r="Q24" s="315">
        <f>J24</f>
        <v>4.2999999999999997E-2</v>
      </c>
      <c r="R24" s="304">
        <f t="shared" ref="R24" si="27">L24+P24</f>
        <v>0</v>
      </c>
      <c r="S24" s="316">
        <f>K24+P24</f>
        <v>4.2999999999999997E-2</v>
      </c>
    </row>
    <row r="25" spans="1:22" x14ac:dyDescent="0.2">
      <c r="A25" s="726"/>
      <c r="B25" s="375" t="s">
        <v>433</v>
      </c>
      <c r="C25" s="331">
        <v>31729.4357390718</v>
      </c>
      <c r="D25" s="288">
        <v>47743.608197400499</v>
      </c>
      <c r="E25" s="288">
        <v>3020.7341631793101</v>
      </c>
      <c r="F25" s="288">
        <v>3506.2869386750399</v>
      </c>
      <c r="G25" s="288">
        <f t="shared" si="21"/>
        <v>28708.70157589249</v>
      </c>
      <c r="H25" s="332">
        <f t="shared" si="22"/>
        <v>44237.32125872546</v>
      </c>
      <c r="I25" s="321">
        <f t="shared" ref="I25:I28" si="28">H25-G25</f>
        <v>15528.61968283297</v>
      </c>
      <c r="J25" s="315">
        <f>'2020 RW by County'!F25</f>
        <v>1.7</v>
      </c>
      <c r="K25" s="305">
        <f>'2020 RW by County'!G25</f>
        <v>4.1429999999999998</v>
      </c>
      <c r="L25" s="304">
        <f>'2020 RW by County'!H25</f>
        <v>0</v>
      </c>
      <c r="M25" s="316">
        <f>'2020 RW by County'!K25</f>
        <v>0</v>
      </c>
      <c r="N25" s="315">
        <f t="shared" si="23"/>
        <v>1.0769097750044665</v>
      </c>
      <c r="O25" s="304">
        <f t="shared" si="6"/>
        <v>0.80768233125334987</v>
      </c>
      <c r="P25" s="316">
        <v>0</v>
      </c>
      <c r="Q25" s="315">
        <f t="shared" si="24"/>
        <v>2.7769097750044667</v>
      </c>
      <c r="R25" s="304">
        <f t="shared" si="25"/>
        <v>0</v>
      </c>
      <c r="S25" s="316">
        <f t="shared" si="26"/>
        <v>4.9506823312533497</v>
      </c>
    </row>
    <row r="26" spans="1:22" x14ac:dyDescent="0.2">
      <c r="A26" s="726"/>
      <c r="B26" s="376" t="s">
        <v>434</v>
      </c>
      <c r="C26" s="331">
        <v>1955.79651008</v>
      </c>
      <c r="D26" s="288">
        <v>2106.7880042790998</v>
      </c>
      <c r="E26" s="290">
        <v>0</v>
      </c>
      <c r="F26" s="290">
        <v>0</v>
      </c>
      <c r="G26" s="288">
        <f t="shared" si="21"/>
        <v>1955.79651008</v>
      </c>
      <c r="H26" s="332">
        <f t="shared" si="22"/>
        <v>2106.7880042790998</v>
      </c>
      <c r="I26" s="321">
        <f t="shared" si="28"/>
        <v>150.99149419909986</v>
      </c>
      <c r="J26" s="315">
        <f>'2020 RW by County'!F26</f>
        <v>0.1</v>
      </c>
      <c r="K26" s="305">
        <f>'2020 RW by County'!G26</f>
        <v>0.10100000000000001</v>
      </c>
      <c r="L26" s="304">
        <f>'2020 RW by County'!H26</f>
        <v>0</v>
      </c>
      <c r="M26" s="316">
        <f>'2020 RW by County'!K26</f>
        <v>0</v>
      </c>
      <c r="N26" s="315">
        <f t="shared" si="23"/>
        <v>1.0471260122707575E-2</v>
      </c>
      <c r="O26" s="304">
        <f t="shared" si="6"/>
        <v>7.8534450920306805E-3</v>
      </c>
      <c r="P26" s="316">
        <v>0</v>
      </c>
      <c r="Q26" s="315">
        <f t="shared" si="24"/>
        <v>0.11047126012270758</v>
      </c>
      <c r="R26" s="304">
        <f t="shared" si="25"/>
        <v>0</v>
      </c>
      <c r="S26" s="316">
        <f t="shared" si="26"/>
        <v>0.10885344509203068</v>
      </c>
    </row>
    <row r="27" spans="1:22" x14ac:dyDescent="0.2">
      <c r="A27" s="726"/>
      <c r="B27" s="376" t="s">
        <v>435</v>
      </c>
      <c r="C27" s="331">
        <v>4346.3969710000001</v>
      </c>
      <c r="D27" s="288">
        <v>5037.0709450000004</v>
      </c>
      <c r="E27" s="290">
        <v>0</v>
      </c>
      <c r="F27" s="290">
        <v>0</v>
      </c>
      <c r="G27" s="288">
        <f t="shared" si="21"/>
        <v>4346.3969710000001</v>
      </c>
      <c r="H27" s="332">
        <f t="shared" si="22"/>
        <v>5037.0709450000004</v>
      </c>
      <c r="I27" s="321">
        <f t="shared" si="28"/>
        <v>690.67397400000027</v>
      </c>
      <c r="J27" s="315">
        <f>'2020 RW by County'!F27</f>
        <v>0.222</v>
      </c>
      <c r="K27" s="305">
        <f>'2020 RW by County'!G27</f>
        <v>0.222</v>
      </c>
      <c r="L27" s="304">
        <f>'2020 RW by County'!H27</f>
        <v>0</v>
      </c>
      <c r="M27" s="316">
        <f>'2020 RW by County'!K27</f>
        <v>0</v>
      </c>
      <c r="N27" s="315">
        <f t="shared" si="23"/>
        <v>4.7898240096900017E-2</v>
      </c>
      <c r="O27" s="304">
        <f t="shared" si="6"/>
        <v>3.5923680072675011E-2</v>
      </c>
      <c r="P27" s="316">
        <v>0</v>
      </c>
      <c r="Q27" s="315">
        <f t="shared" si="24"/>
        <v>0.2698982400969</v>
      </c>
      <c r="R27" s="304">
        <f t="shared" si="25"/>
        <v>0</v>
      </c>
      <c r="S27" s="316">
        <f t="shared" si="26"/>
        <v>0.25792368007267502</v>
      </c>
    </row>
    <row r="28" spans="1:22" x14ac:dyDescent="0.2">
      <c r="A28" s="726"/>
      <c r="B28" s="376" t="s">
        <v>436</v>
      </c>
      <c r="C28" s="331">
        <v>43118.878099194902</v>
      </c>
      <c r="D28" s="288">
        <v>72109.404200139703</v>
      </c>
      <c r="E28" s="288">
        <v>798.16680229886003</v>
      </c>
      <c r="F28" s="288">
        <v>949.14763899411003</v>
      </c>
      <c r="G28" s="288">
        <f t="shared" si="21"/>
        <v>42320.711296896043</v>
      </c>
      <c r="H28" s="332">
        <f t="shared" si="22"/>
        <v>71160.256561145594</v>
      </c>
      <c r="I28" s="321">
        <f t="shared" si="28"/>
        <v>28839.545264249551</v>
      </c>
      <c r="J28" s="315">
        <f>'2020 RW by County'!F28</f>
        <v>3.89</v>
      </c>
      <c r="K28" s="305">
        <f>'2020 RW by County'!G28</f>
        <v>2.93</v>
      </c>
      <c r="L28" s="304">
        <f>'2020 RW by County'!H28</f>
        <v>0</v>
      </c>
      <c r="M28" s="316">
        <f>'2020 RW by County'!K28</f>
        <v>0</v>
      </c>
      <c r="N28" s="315">
        <f t="shared" si="23"/>
        <v>2.0000224640757063</v>
      </c>
      <c r="O28" s="304">
        <f t="shared" si="6"/>
        <v>1.5000168480567797</v>
      </c>
      <c r="P28" s="316">
        <v>0</v>
      </c>
      <c r="Q28" s="315">
        <f t="shared" si="24"/>
        <v>5.890022464075706</v>
      </c>
      <c r="R28" s="304">
        <f t="shared" si="25"/>
        <v>0</v>
      </c>
      <c r="S28" s="316">
        <f t="shared" si="26"/>
        <v>4.4300168480567796</v>
      </c>
    </row>
    <row r="29" spans="1:22" x14ac:dyDescent="0.2">
      <c r="A29" s="726"/>
      <c r="B29" s="376" t="s">
        <v>437</v>
      </c>
      <c r="C29" s="329" t="s">
        <v>501</v>
      </c>
      <c r="D29" s="289" t="s">
        <v>501</v>
      </c>
      <c r="E29" s="289" t="s">
        <v>501</v>
      </c>
      <c r="F29" s="289" t="s">
        <v>501</v>
      </c>
      <c r="G29" s="289" t="s">
        <v>501</v>
      </c>
      <c r="H29" s="330" t="s">
        <v>501</v>
      </c>
      <c r="I29" s="323" t="s">
        <v>501</v>
      </c>
      <c r="J29" s="315">
        <f>'2020 RW by County'!F29</f>
        <v>0.51300000000000001</v>
      </c>
      <c r="K29" s="305">
        <f>'2020 RW by County'!G29</f>
        <v>0.27</v>
      </c>
      <c r="L29" s="304">
        <f>'2020 RW by County'!H29</f>
        <v>0</v>
      </c>
      <c r="M29" s="316">
        <f>'2020 RW by County'!K29</f>
        <v>0</v>
      </c>
      <c r="N29" s="315" t="s">
        <v>501</v>
      </c>
      <c r="O29" s="304" t="s">
        <v>501</v>
      </c>
      <c r="P29" s="316">
        <v>0</v>
      </c>
      <c r="Q29" s="315">
        <f>J29</f>
        <v>0.51300000000000001</v>
      </c>
      <c r="R29" s="304">
        <f t="shared" si="25"/>
        <v>0</v>
      </c>
      <c r="S29" s="316">
        <f>K29+P29</f>
        <v>0.27</v>
      </c>
    </row>
    <row r="30" spans="1:22" x14ac:dyDescent="0.2">
      <c r="A30" s="726"/>
      <c r="B30" s="417" t="s">
        <v>438</v>
      </c>
      <c r="C30" s="331">
        <v>301302.473306195</v>
      </c>
      <c r="D30" s="288">
        <v>485896.77089589502</v>
      </c>
      <c r="E30" s="288">
        <v>14132.4056656965</v>
      </c>
      <c r="F30" s="288">
        <v>14797.1276387574</v>
      </c>
      <c r="G30" s="288">
        <f t="shared" si="21"/>
        <v>287170.06764049851</v>
      </c>
      <c r="H30" s="332">
        <f t="shared" si="22"/>
        <v>471099.64325713762</v>
      </c>
      <c r="I30" s="321">
        <f t="shared" si="1"/>
        <v>183929.57561663911</v>
      </c>
      <c r="J30" s="315">
        <f>'2020 RW by County'!F30</f>
        <v>19.559999999999999</v>
      </c>
      <c r="K30" s="305">
        <f>'2020 RW by County'!G30</f>
        <v>21.764000000000003</v>
      </c>
      <c r="L30" s="304">
        <f>'2020 RW by County'!H30</f>
        <v>2.2000000000000002</v>
      </c>
      <c r="M30" s="316">
        <f>'2020 RW by County'!K30</f>
        <v>0</v>
      </c>
      <c r="N30" s="315">
        <f t="shared" si="23"/>
        <v>12.755516069013922</v>
      </c>
      <c r="O30" s="304">
        <f t="shared" si="6"/>
        <v>9.5666370517604413</v>
      </c>
      <c r="P30" s="316">
        <v>0</v>
      </c>
      <c r="Q30" s="315">
        <f t="shared" si="24"/>
        <v>32.315516069013924</v>
      </c>
      <c r="R30" s="304">
        <f t="shared" si="25"/>
        <v>2.2000000000000002</v>
      </c>
      <c r="S30" s="316">
        <f t="shared" si="26"/>
        <v>31.330637051760444</v>
      </c>
    </row>
    <row r="31" spans="1:22" ht="12" thickBot="1" x14ac:dyDescent="0.25">
      <c r="A31" s="726"/>
      <c r="B31" s="434" t="s">
        <v>439</v>
      </c>
      <c r="C31" s="395">
        <v>165135.68713345201</v>
      </c>
      <c r="D31" s="396">
        <v>195522.580813023</v>
      </c>
      <c r="E31" s="396">
        <v>25644.191172123199</v>
      </c>
      <c r="F31" s="396">
        <v>26025.2200427516</v>
      </c>
      <c r="G31" s="396">
        <f t="shared" si="21"/>
        <v>139491.49596132882</v>
      </c>
      <c r="H31" s="397">
        <f t="shared" si="22"/>
        <v>169497.36077027139</v>
      </c>
      <c r="I31" s="398">
        <f t="shared" si="1"/>
        <v>30005.86480894257</v>
      </c>
      <c r="J31" s="399">
        <f>'2020 RW by County'!F31</f>
        <v>5.96</v>
      </c>
      <c r="K31" s="400">
        <f>'2020 RW by County'!G31</f>
        <v>5.9880000000000004</v>
      </c>
      <c r="L31" s="401">
        <f>'2020 RW by County'!H31</f>
        <v>0</v>
      </c>
      <c r="M31" s="402">
        <f>'2020 RW by County'!K31</f>
        <v>0</v>
      </c>
      <c r="N31" s="399">
        <f t="shared" si="23"/>
        <v>2.0809067245001671</v>
      </c>
      <c r="O31" s="401">
        <f t="shared" si="6"/>
        <v>1.5606800433751253</v>
      </c>
      <c r="P31" s="402">
        <v>0</v>
      </c>
      <c r="Q31" s="399">
        <f t="shared" si="24"/>
        <v>8.040906724500168</v>
      </c>
      <c r="R31" s="401">
        <f t="shared" si="25"/>
        <v>0</v>
      </c>
      <c r="S31" s="402">
        <f t="shared" si="26"/>
        <v>7.5486800433751258</v>
      </c>
    </row>
    <row r="32" spans="1:22" s="284" customFormat="1" ht="12.75" thickTop="1" thickBot="1" x14ac:dyDescent="0.25">
      <c r="A32" s="728"/>
      <c r="B32" s="404" t="s">
        <v>361</v>
      </c>
      <c r="C32" s="405">
        <f>SUM(C22:C31)</f>
        <v>616280.76045497193</v>
      </c>
      <c r="D32" s="406">
        <f t="shared" ref="D32:P32" si="29">SUM(D22:D31)</f>
        <v>942576.69581149542</v>
      </c>
      <c r="E32" s="406">
        <f t="shared" si="29"/>
        <v>48332.907665067425</v>
      </c>
      <c r="F32" s="406">
        <f t="shared" si="29"/>
        <v>51393.651767074924</v>
      </c>
      <c r="G32" s="406">
        <f t="shared" si="29"/>
        <v>567947.85278990457</v>
      </c>
      <c r="H32" s="407">
        <f t="shared" si="29"/>
        <v>891183.04404442036</v>
      </c>
      <c r="I32" s="389">
        <f t="shared" si="1"/>
        <v>323235.19125451578</v>
      </c>
      <c r="J32" s="408">
        <f t="shared" si="29"/>
        <v>35.040999999999997</v>
      </c>
      <c r="K32" s="409">
        <f t="shared" si="29"/>
        <v>42.141000000000005</v>
      </c>
      <c r="L32" s="409">
        <f t="shared" si="29"/>
        <v>4.26</v>
      </c>
      <c r="M32" s="410">
        <f t="shared" si="29"/>
        <v>0</v>
      </c>
      <c r="N32" s="408">
        <f t="shared" si="29"/>
        <v>22.416360513500678</v>
      </c>
      <c r="O32" s="409">
        <f t="shared" ref="O32" si="30">SUM(O22:O31)</f>
        <v>16.812270385125508</v>
      </c>
      <c r="P32" s="410">
        <f t="shared" si="29"/>
        <v>0</v>
      </c>
      <c r="Q32" s="408">
        <f t="shared" ref="Q32:S32" si="31">SUM(Q22:Q31)</f>
        <v>57.457360513500682</v>
      </c>
      <c r="R32" s="409">
        <f t="shared" si="31"/>
        <v>4.26</v>
      </c>
      <c r="S32" s="410">
        <f t="shared" si="31"/>
        <v>58.953270385125514</v>
      </c>
    </row>
    <row r="33" spans="1:19" s="284" customFormat="1" ht="12" thickBot="1" x14ac:dyDescent="0.25">
      <c r="A33" s="716" t="s">
        <v>412</v>
      </c>
      <c r="B33" s="717"/>
      <c r="C33" s="379">
        <f>C32+C21</f>
        <v>1038744.2881316973</v>
      </c>
      <c r="D33" s="294">
        <f t="shared" ref="D33:P33" si="32">D32+D21</f>
        <v>1602473.0866939118</v>
      </c>
      <c r="E33" s="294">
        <f t="shared" si="32"/>
        <v>58391.893149743417</v>
      </c>
      <c r="F33" s="294">
        <f t="shared" si="32"/>
        <v>64161.650669220617</v>
      </c>
      <c r="G33" s="294">
        <f t="shared" si="32"/>
        <v>980352.3949819539</v>
      </c>
      <c r="H33" s="380">
        <f t="shared" si="32"/>
        <v>1538311.436024691</v>
      </c>
      <c r="I33" s="326">
        <f t="shared" si="1"/>
        <v>557959.04104273708</v>
      </c>
      <c r="J33" s="381">
        <f t="shared" si="32"/>
        <v>89.86099999999999</v>
      </c>
      <c r="K33" s="382">
        <f t="shared" si="32"/>
        <v>105.819</v>
      </c>
      <c r="L33" s="382">
        <f t="shared" si="32"/>
        <v>8.2199999999999989</v>
      </c>
      <c r="M33" s="383">
        <f t="shared" si="32"/>
        <v>0</v>
      </c>
      <c r="N33" s="381">
        <f t="shared" si="32"/>
        <v>38.694459496313819</v>
      </c>
      <c r="O33" s="382">
        <f t="shared" ref="O33" si="33">O32+O21</f>
        <v>29.020844622235366</v>
      </c>
      <c r="P33" s="383">
        <f t="shared" si="32"/>
        <v>1.9260000000000064</v>
      </c>
      <c r="Q33" s="381">
        <f t="shared" ref="Q33:S33" si="34">Q32+Q21</f>
        <v>128.55545949631383</v>
      </c>
      <c r="R33" s="382">
        <f t="shared" si="34"/>
        <v>10.146000000000008</v>
      </c>
      <c r="S33" s="383">
        <f t="shared" si="34"/>
        <v>136.76584462223536</v>
      </c>
    </row>
    <row r="34" spans="1:19" x14ac:dyDescent="0.2">
      <c r="A34" s="725" t="s">
        <v>219</v>
      </c>
      <c r="B34" s="373" t="s">
        <v>447</v>
      </c>
      <c r="C34" s="360" t="s">
        <v>501</v>
      </c>
      <c r="D34" s="361" t="s">
        <v>501</v>
      </c>
      <c r="E34" s="361" t="s">
        <v>501</v>
      </c>
      <c r="F34" s="361" t="s">
        <v>501</v>
      </c>
      <c r="G34" s="361" t="s">
        <v>501</v>
      </c>
      <c r="H34" s="362" t="s">
        <v>501</v>
      </c>
      <c r="I34" s="363" t="s">
        <v>501</v>
      </c>
      <c r="J34" s="352">
        <f>'2020 RW by County'!F34</f>
        <v>0.15</v>
      </c>
      <c r="K34" s="353">
        <f>'2020 RW by County'!G34</f>
        <v>0.15</v>
      </c>
      <c r="L34" s="354">
        <f>'2020 RW by County'!H34</f>
        <v>0</v>
      </c>
      <c r="M34" s="355">
        <f>'2020 RW by County'!K34</f>
        <v>0</v>
      </c>
      <c r="N34" s="352" t="s">
        <v>501</v>
      </c>
      <c r="O34" s="354" t="s">
        <v>501</v>
      </c>
      <c r="P34" s="367">
        <v>0</v>
      </c>
      <c r="Q34" s="352">
        <f>J34</f>
        <v>0.15</v>
      </c>
      <c r="R34" s="354">
        <f t="shared" ref="R34" si="35">L34+P34</f>
        <v>0</v>
      </c>
      <c r="S34" s="355">
        <f>K34+P34</f>
        <v>0.15</v>
      </c>
    </row>
    <row r="35" spans="1:19" x14ac:dyDescent="0.2">
      <c r="A35" s="726"/>
      <c r="B35" s="375" t="s">
        <v>441</v>
      </c>
      <c r="C35" s="331">
        <v>270157.15224240097</v>
      </c>
      <c r="D35" s="288">
        <v>458147.88506320398</v>
      </c>
      <c r="E35" s="288">
        <v>8243.2225902084501</v>
      </c>
      <c r="F35" s="288">
        <v>11267.7972914354</v>
      </c>
      <c r="G35" s="288">
        <f t="shared" ref="G35:G37" si="36">C35-E35</f>
        <v>261913.92965219251</v>
      </c>
      <c r="H35" s="332">
        <f t="shared" ref="H35:H37" si="37">D35-F35</f>
        <v>446880.08777176857</v>
      </c>
      <c r="I35" s="321">
        <f t="shared" si="1"/>
        <v>184966.15811957605</v>
      </c>
      <c r="J35" s="315">
        <f>'2020 RW by County'!F35</f>
        <v>11.615</v>
      </c>
      <c r="K35" s="305">
        <f>'2020 RW by County'!G35</f>
        <v>16.407</v>
      </c>
      <c r="L35" s="304">
        <f>'2020 RW by County'!H35</f>
        <v>0</v>
      </c>
      <c r="M35" s="316">
        <f>'2020 RW by County'!K35</f>
        <v>0</v>
      </c>
      <c r="N35" s="315">
        <f t="shared" ref="N35:N37" si="38">(I35*0.95)*73/1000000</f>
        <v>12.827403065592598</v>
      </c>
      <c r="O35" s="304">
        <f t="shared" ref="O35:O95" si="39">N35*0.75</f>
        <v>9.6205522991944488</v>
      </c>
      <c r="P35" s="343">
        <v>8.5</v>
      </c>
      <c r="Q35" s="315">
        <f t="shared" ref="Q35:Q37" si="40">J35+N35</f>
        <v>24.4424030655926</v>
      </c>
      <c r="R35" s="304">
        <f t="shared" ref="R35:R37" si="41">L35+P35</f>
        <v>8.5</v>
      </c>
      <c r="S35" s="316">
        <f t="shared" ref="S35:S37" si="42">K35+O35+P35</f>
        <v>34.527552299194447</v>
      </c>
    </row>
    <row r="36" spans="1:19" x14ac:dyDescent="0.2">
      <c r="A36" s="726"/>
      <c r="B36" s="375" t="s">
        <v>442</v>
      </c>
      <c r="C36" s="329" t="s">
        <v>501</v>
      </c>
      <c r="D36" s="289" t="s">
        <v>501</v>
      </c>
      <c r="E36" s="289" t="s">
        <v>501</v>
      </c>
      <c r="F36" s="289" t="s">
        <v>501</v>
      </c>
      <c r="G36" s="289" t="s">
        <v>501</v>
      </c>
      <c r="H36" s="330" t="s">
        <v>501</v>
      </c>
      <c r="I36" s="323" t="s">
        <v>501</v>
      </c>
      <c r="J36" s="315">
        <f>'2020 RW by County'!F36</f>
        <v>3.528</v>
      </c>
      <c r="K36" s="305">
        <f>'2020 RW by County'!G36</f>
        <v>0</v>
      </c>
      <c r="L36" s="304">
        <f>'2020 RW by County'!H36</f>
        <v>0</v>
      </c>
      <c r="M36" s="316">
        <f>'2020 RW by County'!K36</f>
        <v>0</v>
      </c>
      <c r="N36" s="315" t="s">
        <v>501</v>
      </c>
      <c r="O36" s="304" t="s">
        <v>501</v>
      </c>
      <c r="P36" s="343">
        <v>0</v>
      </c>
      <c r="Q36" s="315">
        <f>J36</f>
        <v>3.528</v>
      </c>
      <c r="R36" s="304">
        <f t="shared" si="41"/>
        <v>0</v>
      </c>
      <c r="S36" s="316">
        <f>K36+P36</f>
        <v>0</v>
      </c>
    </row>
    <row r="37" spans="1:19" x14ac:dyDescent="0.2">
      <c r="A37" s="726"/>
      <c r="B37" s="430" t="s">
        <v>440</v>
      </c>
      <c r="C37" s="331">
        <v>66142.311658923194</v>
      </c>
      <c r="D37" s="288">
        <v>165546.89668643099</v>
      </c>
      <c r="E37" s="288">
        <v>7256.3714533942602</v>
      </c>
      <c r="F37" s="288">
        <v>7820.7146579712899</v>
      </c>
      <c r="G37" s="288">
        <f t="shared" si="36"/>
        <v>58885.940205528932</v>
      </c>
      <c r="H37" s="332">
        <f t="shared" si="37"/>
        <v>157726.18202845971</v>
      </c>
      <c r="I37" s="321">
        <f>H37-G37</f>
        <v>98840.24182293078</v>
      </c>
      <c r="J37" s="315">
        <f>'2020 RW by County'!F37</f>
        <v>4.0389999999999997</v>
      </c>
      <c r="K37" s="305">
        <f>'2020 RW by County'!G37</f>
        <v>4.0270000000000001</v>
      </c>
      <c r="L37" s="304">
        <f>'2020 RW by County'!H37</f>
        <v>0</v>
      </c>
      <c r="M37" s="316">
        <f>'2020 RW by County'!K37</f>
        <v>0.27400000000000002</v>
      </c>
      <c r="N37" s="315">
        <f t="shared" si="38"/>
        <v>6.8545707704202483</v>
      </c>
      <c r="O37" s="304">
        <f t="shared" si="39"/>
        <v>5.140928077815186</v>
      </c>
      <c r="P37" s="342">
        <v>0</v>
      </c>
      <c r="Q37" s="315">
        <f t="shared" si="40"/>
        <v>10.893570770420247</v>
      </c>
      <c r="R37" s="304">
        <f t="shared" si="41"/>
        <v>0</v>
      </c>
      <c r="S37" s="316">
        <f t="shared" si="42"/>
        <v>9.167928077815187</v>
      </c>
    </row>
    <row r="38" spans="1:19" x14ac:dyDescent="0.2">
      <c r="A38" s="726"/>
      <c r="B38" s="417" t="s">
        <v>443</v>
      </c>
      <c r="C38" s="329" t="s">
        <v>501</v>
      </c>
      <c r="D38" s="289" t="s">
        <v>501</v>
      </c>
      <c r="E38" s="289" t="s">
        <v>501</v>
      </c>
      <c r="F38" s="289" t="s">
        <v>501</v>
      </c>
      <c r="G38" s="289" t="s">
        <v>501</v>
      </c>
      <c r="H38" s="330" t="s">
        <v>501</v>
      </c>
      <c r="I38" s="323" t="s">
        <v>501</v>
      </c>
      <c r="J38" s="315">
        <f>'2020 RW by County'!F38</f>
        <v>0.222</v>
      </c>
      <c r="K38" s="305">
        <f>'2020 RW by County'!G38</f>
        <v>0.59299999999999997</v>
      </c>
      <c r="L38" s="304">
        <f>'2020 RW by County'!H38</f>
        <v>0.371</v>
      </c>
      <c r="M38" s="316">
        <f>'2020 RW by County'!K38</f>
        <v>0</v>
      </c>
      <c r="N38" s="315" t="s">
        <v>501</v>
      </c>
      <c r="O38" s="304" t="s">
        <v>501</v>
      </c>
      <c r="P38" s="342">
        <v>0</v>
      </c>
      <c r="Q38" s="315">
        <f>J38</f>
        <v>0.222</v>
      </c>
      <c r="R38" s="304">
        <f t="shared" ref="R38" si="43">L38+P38</f>
        <v>0.371</v>
      </c>
      <c r="S38" s="316">
        <f>K38+P38</f>
        <v>0.59299999999999997</v>
      </c>
    </row>
    <row r="39" spans="1:19" x14ac:dyDescent="0.2">
      <c r="A39" s="726"/>
      <c r="B39" s="417" t="s">
        <v>444</v>
      </c>
      <c r="C39" s="329" t="s">
        <v>501</v>
      </c>
      <c r="D39" s="289" t="s">
        <v>501</v>
      </c>
      <c r="E39" s="289" t="s">
        <v>501</v>
      </c>
      <c r="F39" s="289" t="s">
        <v>501</v>
      </c>
      <c r="G39" s="289" t="s">
        <v>501</v>
      </c>
      <c r="H39" s="330" t="s">
        <v>501</v>
      </c>
      <c r="I39" s="323" t="s">
        <v>501</v>
      </c>
      <c r="J39" s="315">
        <f>'2020 RW by County'!F39</f>
        <v>1.028</v>
      </c>
      <c r="K39" s="305">
        <f>'2020 RW by County'!G39</f>
        <v>1.03</v>
      </c>
      <c r="L39" s="304">
        <f>'2020 RW by County'!H39</f>
        <v>2E-3</v>
      </c>
      <c r="M39" s="316">
        <f>'2020 RW by County'!K39</f>
        <v>0</v>
      </c>
      <c r="N39" s="315" t="s">
        <v>501</v>
      </c>
      <c r="O39" s="304" t="s">
        <v>501</v>
      </c>
      <c r="P39" s="342">
        <v>0</v>
      </c>
      <c r="Q39" s="315">
        <f>J39</f>
        <v>1.028</v>
      </c>
      <c r="R39" s="304">
        <f t="shared" ref="R39" si="44">L39+P39</f>
        <v>2E-3</v>
      </c>
      <c r="S39" s="316">
        <f>K39+P39</f>
        <v>1.03</v>
      </c>
    </row>
    <row r="40" spans="1:19" x14ac:dyDescent="0.2">
      <c r="A40" s="726"/>
      <c r="B40" s="417" t="s">
        <v>445</v>
      </c>
      <c r="C40" s="329" t="s">
        <v>501</v>
      </c>
      <c r="D40" s="289" t="s">
        <v>501</v>
      </c>
      <c r="E40" s="289" t="s">
        <v>501</v>
      </c>
      <c r="F40" s="289" t="s">
        <v>501</v>
      </c>
      <c r="G40" s="289" t="s">
        <v>501</v>
      </c>
      <c r="H40" s="330" t="s">
        <v>501</v>
      </c>
      <c r="I40" s="323" t="s">
        <v>501</v>
      </c>
      <c r="J40" s="315">
        <f>'2020 RW by County'!F40</f>
        <v>4.1139999999999999</v>
      </c>
      <c r="K40" s="305">
        <f>'2020 RW by County'!G40</f>
        <v>4.633</v>
      </c>
      <c r="L40" s="304">
        <f>'2020 RW by County'!H40</f>
        <v>0.51900000000000002</v>
      </c>
      <c r="M40" s="316">
        <f>'2020 RW by County'!K40</f>
        <v>0</v>
      </c>
      <c r="N40" s="315" t="s">
        <v>501</v>
      </c>
      <c r="O40" s="304" t="s">
        <v>501</v>
      </c>
      <c r="P40" s="342">
        <v>0</v>
      </c>
      <c r="Q40" s="315">
        <f>J40</f>
        <v>4.1139999999999999</v>
      </c>
      <c r="R40" s="304">
        <f t="shared" ref="R40" si="45">L40+P40</f>
        <v>0.51900000000000002</v>
      </c>
      <c r="S40" s="316">
        <f>K40+P40</f>
        <v>4.633</v>
      </c>
    </row>
    <row r="41" spans="1:19" x14ac:dyDescent="0.2">
      <c r="A41" s="726"/>
      <c r="B41" s="418" t="s">
        <v>343</v>
      </c>
      <c r="C41" s="329" t="s">
        <v>501</v>
      </c>
      <c r="D41" s="289" t="s">
        <v>501</v>
      </c>
      <c r="E41" s="289" t="s">
        <v>501</v>
      </c>
      <c r="F41" s="289" t="s">
        <v>501</v>
      </c>
      <c r="G41" s="289" t="s">
        <v>501</v>
      </c>
      <c r="H41" s="330" t="s">
        <v>501</v>
      </c>
      <c r="I41" s="323" t="s">
        <v>501</v>
      </c>
      <c r="J41" s="315">
        <f>'2020 RW by County'!F41</f>
        <v>0</v>
      </c>
      <c r="K41" s="305">
        <f>'2020 RW by County'!G41</f>
        <v>2.0034999999999998</v>
      </c>
      <c r="L41" s="304">
        <f>'2020 RW by County'!H41</f>
        <v>0</v>
      </c>
      <c r="M41" s="316">
        <f>'2020 RW by County'!K41</f>
        <v>0</v>
      </c>
      <c r="N41" s="315" t="s">
        <v>501</v>
      </c>
      <c r="O41" s="304" t="s">
        <v>501</v>
      </c>
      <c r="P41" s="342">
        <v>0</v>
      </c>
      <c r="Q41" s="315">
        <f>J41</f>
        <v>0</v>
      </c>
      <c r="R41" s="304">
        <f t="shared" ref="R41" si="46">L41+P41</f>
        <v>0</v>
      </c>
      <c r="S41" s="316">
        <f>K41+P41</f>
        <v>2.0034999999999998</v>
      </c>
    </row>
    <row r="42" spans="1:19" ht="12" thickBot="1" x14ac:dyDescent="0.25">
      <c r="A42" s="726"/>
      <c r="B42" s="419" t="s">
        <v>446</v>
      </c>
      <c r="C42" s="412" t="s">
        <v>501</v>
      </c>
      <c r="D42" s="413" t="s">
        <v>501</v>
      </c>
      <c r="E42" s="413" t="s">
        <v>501</v>
      </c>
      <c r="F42" s="413" t="s">
        <v>501</v>
      </c>
      <c r="G42" s="413" t="s">
        <v>501</v>
      </c>
      <c r="H42" s="414" t="s">
        <v>501</v>
      </c>
      <c r="I42" s="415" t="s">
        <v>501</v>
      </c>
      <c r="J42" s="399">
        <f>'2020 RW by County'!F42</f>
        <v>2.7970000000000002</v>
      </c>
      <c r="K42" s="400">
        <f>'2020 RW by County'!G42</f>
        <v>0</v>
      </c>
      <c r="L42" s="401">
        <f>'2020 RW by County'!H42</f>
        <v>0</v>
      </c>
      <c r="M42" s="402">
        <f>'2020 RW by County'!K42</f>
        <v>0</v>
      </c>
      <c r="N42" s="399" t="s">
        <v>501</v>
      </c>
      <c r="O42" s="401" t="s">
        <v>501</v>
      </c>
      <c r="P42" s="420">
        <v>0</v>
      </c>
      <c r="Q42" s="399">
        <f>J42</f>
        <v>2.7970000000000002</v>
      </c>
      <c r="R42" s="401">
        <f t="shared" ref="R42" si="47">L42+P42</f>
        <v>0</v>
      </c>
      <c r="S42" s="402">
        <f>K42+P42</f>
        <v>0</v>
      </c>
    </row>
    <row r="43" spans="1:19" s="284" customFormat="1" ht="12.75" thickTop="1" thickBot="1" x14ac:dyDescent="0.25">
      <c r="A43" s="727"/>
      <c r="B43" s="421" t="s">
        <v>362</v>
      </c>
      <c r="C43" s="422">
        <f>SUM(C34:C42)</f>
        <v>336299.4639013242</v>
      </c>
      <c r="D43" s="423">
        <f t="shared" ref="D43:P43" si="48">SUM(D34:D42)</f>
        <v>623694.781749635</v>
      </c>
      <c r="E43" s="423">
        <f t="shared" si="48"/>
        <v>15499.59404360271</v>
      </c>
      <c r="F43" s="423">
        <f t="shared" si="48"/>
        <v>19088.511949406689</v>
      </c>
      <c r="G43" s="423">
        <f t="shared" si="48"/>
        <v>320799.86985772144</v>
      </c>
      <c r="H43" s="424">
        <f t="shared" si="48"/>
        <v>604606.2698002283</v>
      </c>
      <c r="I43" s="425">
        <f t="shared" si="1"/>
        <v>283806.39994250686</v>
      </c>
      <c r="J43" s="426">
        <f t="shared" si="48"/>
        <v>27.493000000000002</v>
      </c>
      <c r="K43" s="427">
        <f t="shared" si="48"/>
        <v>28.843499999999999</v>
      </c>
      <c r="L43" s="427">
        <f t="shared" si="48"/>
        <v>0.89200000000000002</v>
      </c>
      <c r="M43" s="428">
        <f t="shared" si="48"/>
        <v>0.27400000000000002</v>
      </c>
      <c r="N43" s="426">
        <f t="shared" si="48"/>
        <v>19.681973836012848</v>
      </c>
      <c r="O43" s="427">
        <f t="shared" si="48"/>
        <v>14.761480377009635</v>
      </c>
      <c r="P43" s="429">
        <f t="shared" si="48"/>
        <v>8.5</v>
      </c>
      <c r="Q43" s="426">
        <f t="shared" ref="Q43" si="49">SUM(Q34:Q42)</f>
        <v>47.174973836012839</v>
      </c>
      <c r="R43" s="427">
        <f t="shared" ref="R43" si="50">SUM(R34:R42)</f>
        <v>9.3920000000000012</v>
      </c>
      <c r="S43" s="429">
        <f t="shared" ref="S43" si="51">SUM(S34:S42)</f>
        <v>52.104980377009646</v>
      </c>
    </row>
    <row r="44" spans="1:19" x14ac:dyDescent="0.2">
      <c r="A44" s="725" t="s">
        <v>221</v>
      </c>
      <c r="B44" s="374" t="s">
        <v>462</v>
      </c>
      <c r="C44" s="357">
        <v>1484.80109083</v>
      </c>
      <c r="D44" s="358">
        <v>1502.5325578500001</v>
      </c>
      <c r="E44" s="365">
        <v>0</v>
      </c>
      <c r="F44" s="365">
        <v>0</v>
      </c>
      <c r="G44" s="358">
        <f t="shared" ref="G44" si="52">C44-E44</f>
        <v>1484.80109083</v>
      </c>
      <c r="H44" s="359">
        <f t="shared" ref="H44" si="53">D44-F44</f>
        <v>1502.5325578500001</v>
      </c>
      <c r="I44" s="337">
        <f t="shared" si="1"/>
        <v>17.731467020000082</v>
      </c>
      <c r="J44" s="338">
        <f>'2020 RW by County'!F44</f>
        <v>0.23300000000000001</v>
      </c>
      <c r="K44" s="339">
        <f>'2020 RW by County'!G44</f>
        <v>0</v>
      </c>
      <c r="L44" s="340">
        <f>'2020 RW by County'!H44</f>
        <v>0</v>
      </c>
      <c r="M44" s="341">
        <f>'2020 RW by County'!K44</f>
        <v>0.23300000000000001</v>
      </c>
      <c r="N44" s="338">
        <f t="shared" ref="N44:N95" si="54">(I44*0.95)*73/1000000</f>
        <v>1.2296772378370055E-3</v>
      </c>
      <c r="O44" s="340">
        <f t="shared" si="39"/>
        <v>9.2225792837775412E-4</v>
      </c>
      <c r="P44" s="366">
        <v>0</v>
      </c>
      <c r="Q44" s="338">
        <f t="shared" ref="Q44" si="55">J44+N44</f>
        <v>0.23422967723783703</v>
      </c>
      <c r="R44" s="340">
        <f t="shared" ref="R44:R48" si="56">L44+P44</f>
        <v>0</v>
      </c>
      <c r="S44" s="341">
        <f t="shared" ref="S44" si="57">K44+O44+P44</f>
        <v>9.2225792837775412E-4</v>
      </c>
    </row>
    <row r="45" spans="1:19" ht="22.5" x14ac:dyDescent="0.2">
      <c r="A45" s="726"/>
      <c r="B45" s="417" t="s">
        <v>463</v>
      </c>
      <c r="C45" s="329" t="s">
        <v>501</v>
      </c>
      <c r="D45" s="289" t="s">
        <v>501</v>
      </c>
      <c r="E45" s="289" t="s">
        <v>501</v>
      </c>
      <c r="F45" s="289" t="s">
        <v>501</v>
      </c>
      <c r="G45" s="289" t="s">
        <v>501</v>
      </c>
      <c r="H45" s="330" t="s">
        <v>501</v>
      </c>
      <c r="I45" s="323" t="s">
        <v>501</v>
      </c>
      <c r="J45" s="315">
        <f>'2020 RW by County'!F45</f>
        <v>9.5399999999999999E-2</v>
      </c>
      <c r="K45" s="305">
        <f>'2020 RW by County'!G45</f>
        <v>9.5399999999999999E-2</v>
      </c>
      <c r="L45" s="304">
        <f>'2020 RW by County'!H45</f>
        <v>0</v>
      </c>
      <c r="M45" s="316">
        <f>'2020 RW by County'!K45</f>
        <v>0</v>
      </c>
      <c r="N45" s="315" t="s">
        <v>501</v>
      </c>
      <c r="O45" s="304" t="s">
        <v>501</v>
      </c>
      <c r="P45" s="342">
        <v>0</v>
      </c>
      <c r="Q45" s="315">
        <f t="shared" ref="Q45:Q48" si="58">J45</f>
        <v>9.5399999999999999E-2</v>
      </c>
      <c r="R45" s="304">
        <f t="shared" si="56"/>
        <v>0</v>
      </c>
      <c r="S45" s="316">
        <f t="shared" ref="S45:S48" si="59">K45+P45</f>
        <v>9.5399999999999999E-2</v>
      </c>
    </row>
    <row r="46" spans="1:19" x14ac:dyDescent="0.2">
      <c r="A46" s="726"/>
      <c r="B46" s="418" t="s">
        <v>344</v>
      </c>
      <c r="C46" s="329" t="s">
        <v>501</v>
      </c>
      <c r="D46" s="289" t="s">
        <v>501</v>
      </c>
      <c r="E46" s="289" t="s">
        <v>501</v>
      </c>
      <c r="F46" s="289" t="s">
        <v>501</v>
      </c>
      <c r="G46" s="289" t="s">
        <v>501</v>
      </c>
      <c r="H46" s="330" t="s">
        <v>501</v>
      </c>
      <c r="I46" s="323" t="s">
        <v>501</v>
      </c>
      <c r="J46" s="315">
        <f>'2020 RW by County'!F46</f>
        <v>0</v>
      </c>
      <c r="K46" s="305">
        <f>'2020 RW by County'!G46</f>
        <v>2.0034999999999998</v>
      </c>
      <c r="L46" s="304">
        <f>'2020 RW by County'!H46</f>
        <v>0</v>
      </c>
      <c r="M46" s="316">
        <f>'2020 RW by County'!K46</f>
        <v>0</v>
      </c>
      <c r="N46" s="315" t="s">
        <v>501</v>
      </c>
      <c r="O46" s="304" t="s">
        <v>501</v>
      </c>
      <c r="P46" s="342">
        <v>0</v>
      </c>
      <c r="Q46" s="315">
        <f t="shared" si="58"/>
        <v>0</v>
      </c>
      <c r="R46" s="304">
        <f t="shared" si="56"/>
        <v>0</v>
      </c>
      <c r="S46" s="316">
        <f t="shared" si="59"/>
        <v>2.0034999999999998</v>
      </c>
    </row>
    <row r="47" spans="1:19" x14ac:dyDescent="0.2">
      <c r="A47" s="726"/>
      <c r="B47" s="417" t="s">
        <v>464</v>
      </c>
      <c r="C47" s="329" t="s">
        <v>501</v>
      </c>
      <c r="D47" s="289" t="s">
        <v>501</v>
      </c>
      <c r="E47" s="289" t="s">
        <v>501</v>
      </c>
      <c r="F47" s="289" t="s">
        <v>501</v>
      </c>
      <c r="G47" s="289" t="s">
        <v>501</v>
      </c>
      <c r="H47" s="330" t="s">
        <v>501</v>
      </c>
      <c r="I47" s="323" t="s">
        <v>501</v>
      </c>
      <c r="J47" s="315">
        <f>'2020 RW by County'!F47</f>
        <v>1.665</v>
      </c>
      <c r="K47" s="305">
        <f>'2020 RW by County'!G47</f>
        <v>0</v>
      </c>
      <c r="L47" s="304">
        <f>'2020 RW by County'!H47</f>
        <v>0</v>
      </c>
      <c r="M47" s="316">
        <f>'2020 RW by County'!K47</f>
        <v>0</v>
      </c>
      <c r="N47" s="315" t="s">
        <v>501</v>
      </c>
      <c r="O47" s="304" t="s">
        <v>501</v>
      </c>
      <c r="P47" s="343">
        <v>0</v>
      </c>
      <c r="Q47" s="315">
        <f t="shared" si="58"/>
        <v>1.665</v>
      </c>
      <c r="R47" s="304">
        <f t="shared" si="56"/>
        <v>0</v>
      </c>
      <c r="S47" s="316">
        <f t="shared" si="59"/>
        <v>0</v>
      </c>
    </row>
    <row r="48" spans="1:19" ht="12" thickBot="1" x14ac:dyDescent="0.25">
      <c r="A48" s="726"/>
      <c r="B48" s="419" t="s">
        <v>465</v>
      </c>
      <c r="C48" s="412" t="s">
        <v>501</v>
      </c>
      <c r="D48" s="413" t="s">
        <v>501</v>
      </c>
      <c r="E48" s="413" t="s">
        <v>501</v>
      </c>
      <c r="F48" s="413" t="s">
        <v>501</v>
      </c>
      <c r="G48" s="413" t="s">
        <v>501</v>
      </c>
      <c r="H48" s="414" t="s">
        <v>501</v>
      </c>
      <c r="I48" s="415" t="s">
        <v>501</v>
      </c>
      <c r="J48" s="399">
        <f>'2020 RW by County'!F48</f>
        <v>0.80900000000000005</v>
      </c>
      <c r="K48" s="400">
        <f>'2020 RW by County'!G48</f>
        <v>0</v>
      </c>
      <c r="L48" s="401">
        <f>'2020 RW by County'!H48</f>
        <v>0</v>
      </c>
      <c r="M48" s="402">
        <f>'2020 RW by County'!K48</f>
        <v>0</v>
      </c>
      <c r="N48" s="399" t="s">
        <v>501</v>
      </c>
      <c r="O48" s="401" t="s">
        <v>501</v>
      </c>
      <c r="P48" s="420">
        <v>0</v>
      </c>
      <c r="Q48" s="399">
        <f t="shared" si="58"/>
        <v>0.80900000000000005</v>
      </c>
      <c r="R48" s="401">
        <f t="shared" si="56"/>
        <v>0</v>
      </c>
      <c r="S48" s="402">
        <f t="shared" si="59"/>
        <v>0</v>
      </c>
    </row>
    <row r="49" spans="1:19" s="284" customFormat="1" ht="12.75" thickTop="1" thickBot="1" x14ac:dyDescent="0.25">
      <c r="A49" s="727"/>
      <c r="B49" s="404" t="s">
        <v>363</v>
      </c>
      <c r="C49" s="405">
        <f>SUM(C44:C48)</f>
        <v>1484.80109083</v>
      </c>
      <c r="D49" s="406">
        <f t="shared" ref="D49:H49" si="60">SUM(D44:D48)</f>
        <v>1502.5325578500001</v>
      </c>
      <c r="E49" s="416">
        <f t="shared" si="60"/>
        <v>0</v>
      </c>
      <c r="F49" s="416">
        <f t="shared" si="60"/>
        <v>0</v>
      </c>
      <c r="G49" s="406">
        <f t="shared" si="60"/>
        <v>1484.80109083</v>
      </c>
      <c r="H49" s="407">
        <f t="shared" si="60"/>
        <v>1502.5325578500001</v>
      </c>
      <c r="I49" s="389">
        <f t="shared" ref="I49" si="61">H49-G49</f>
        <v>17.731467020000082</v>
      </c>
      <c r="J49" s="408">
        <f t="shared" ref="J49" si="62">SUM(J44:J48)</f>
        <v>2.8024</v>
      </c>
      <c r="K49" s="409">
        <f t="shared" ref="K49" si="63">SUM(K44:K48)</f>
        <v>2.0989</v>
      </c>
      <c r="L49" s="409">
        <f t="shared" ref="L49" si="64">SUM(L44:L48)</f>
        <v>0</v>
      </c>
      <c r="M49" s="410">
        <f t="shared" ref="M49" si="65">SUM(M44:M48)</f>
        <v>0.23300000000000001</v>
      </c>
      <c r="N49" s="408">
        <f t="shared" ref="N49:O49" si="66">SUM(N44:N48)</f>
        <v>1.2296772378370055E-3</v>
      </c>
      <c r="O49" s="409">
        <f t="shared" si="66"/>
        <v>9.2225792837775412E-4</v>
      </c>
      <c r="P49" s="411">
        <f t="shared" ref="P49" si="67">SUM(P44:P48)</f>
        <v>0</v>
      </c>
      <c r="Q49" s="408">
        <f t="shared" ref="Q49" si="68">SUM(Q44:Q48)</f>
        <v>2.8036296772378373</v>
      </c>
      <c r="R49" s="409">
        <f t="shared" ref="R49" si="69">SUM(R44:R48)</f>
        <v>0</v>
      </c>
      <c r="S49" s="411">
        <f t="shared" ref="S49" si="70">SUM(S44:S48)</f>
        <v>2.0998222579283774</v>
      </c>
    </row>
    <row r="50" spans="1:19" x14ac:dyDescent="0.2">
      <c r="A50" s="725" t="s">
        <v>220</v>
      </c>
      <c r="B50" s="595" t="s">
        <v>470</v>
      </c>
      <c r="C50" s="370">
        <v>33406.230635661297</v>
      </c>
      <c r="D50" s="371">
        <v>48540.4760615302</v>
      </c>
      <c r="E50" s="371">
        <v>4263.1181693000399</v>
      </c>
      <c r="F50" s="371">
        <v>4508.5445992208797</v>
      </c>
      <c r="G50" s="371">
        <f t="shared" ref="G50:G78" si="71">C50-E50</f>
        <v>29143.112466361257</v>
      </c>
      <c r="H50" s="372">
        <f t="shared" ref="H50:H78" si="72">D50-F50</f>
        <v>44031.931462309323</v>
      </c>
      <c r="I50" s="351">
        <f t="shared" si="1"/>
        <v>14888.818995948066</v>
      </c>
      <c r="J50" s="352">
        <f>'2020 RW by County'!F50</f>
        <v>1.77</v>
      </c>
      <c r="K50" s="353">
        <f>'2020 RW by County'!G50</f>
        <v>1.5</v>
      </c>
      <c r="L50" s="354">
        <f>'2020 RW by County'!H50</f>
        <v>0</v>
      </c>
      <c r="M50" s="355">
        <f>'2020 RW by County'!K50</f>
        <v>0</v>
      </c>
      <c r="N50" s="352">
        <f t="shared" si="54"/>
        <v>1.0325395973689981</v>
      </c>
      <c r="O50" s="354">
        <f t="shared" si="39"/>
        <v>0.77440469802674861</v>
      </c>
      <c r="P50" s="367">
        <v>0</v>
      </c>
      <c r="Q50" s="352">
        <f t="shared" ref="Q50:Q78" si="73">J50+N50</f>
        <v>2.8025395973689982</v>
      </c>
      <c r="R50" s="354">
        <f t="shared" ref="R50:R79" si="74">L50+P50</f>
        <v>0</v>
      </c>
      <c r="S50" s="355">
        <f t="shared" ref="S50:S78" si="75">K50+O50+P50</f>
        <v>2.2744046980267485</v>
      </c>
    </row>
    <row r="51" spans="1:19" x14ac:dyDescent="0.2">
      <c r="A51" s="726"/>
      <c r="B51" s="376" t="s">
        <v>471</v>
      </c>
      <c r="C51" s="329" t="s">
        <v>501</v>
      </c>
      <c r="D51" s="289" t="s">
        <v>501</v>
      </c>
      <c r="E51" s="289" t="s">
        <v>501</v>
      </c>
      <c r="F51" s="289" t="s">
        <v>501</v>
      </c>
      <c r="G51" s="289" t="s">
        <v>501</v>
      </c>
      <c r="H51" s="330" t="s">
        <v>501</v>
      </c>
      <c r="I51" s="323" t="s">
        <v>501</v>
      </c>
      <c r="J51" s="315">
        <f>'2020 RW by County'!F51</f>
        <v>0.66</v>
      </c>
      <c r="K51" s="305">
        <f>'2020 RW by County'!G51</f>
        <v>1.28</v>
      </c>
      <c r="L51" s="304">
        <f>'2020 RW by County'!H51</f>
        <v>0.45</v>
      </c>
      <c r="M51" s="316">
        <f>'2020 RW by County'!K51</f>
        <v>0</v>
      </c>
      <c r="N51" s="315" t="s">
        <v>501</v>
      </c>
      <c r="O51" s="304" t="s">
        <v>501</v>
      </c>
      <c r="P51" s="342">
        <v>0</v>
      </c>
      <c r="Q51" s="315">
        <f t="shared" ref="Q51" si="76">J51</f>
        <v>0.66</v>
      </c>
      <c r="R51" s="304">
        <f t="shared" si="74"/>
        <v>0.45</v>
      </c>
      <c r="S51" s="316">
        <f t="shared" ref="S51" si="77">K51+P51</f>
        <v>1.28</v>
      </c>
    </row>
    <row r="52" spans="1:19" x14ac:dyDescent="0.2">
      <c r="A52" s="726"/>
      <c r="B52" s="376" t="s">
        <v>472</v>
      </c>
      <c r="C52" s="331">
        <v>24705.567446938901</v>
      </c>
      <c r="D52" s="288">
        <v>33842.306480998202</v>
      </c>
      <c r="E52" s="288">
        <v>1308.2473230301</v>
      </c>
      <c r="F52" s="288">
        <v>1446.4971533242999</v>
      </c>
      <c r="G52" s="288">
        <f t="shared" si="71"/>
        <v>23397.320123908801</v>
      </c>
      <c r="H52" s="332">
        <f t="shared" si="72"/>
        <v>32395.809327673902</v>
      </c>
      <c r="I52" s="321">
        <f t="shared" si="1"/>
        <v>8998.4892037651007</v>
      </c>
      <c r="J52" s="315">
        <f>'2020 RW by County'!F52</f>
        <v>2.2599999999999998</v>
      </c>
      <c r="K52" s="305">
        <f>'2020 RW by County'!G52</f>
        <v>2.2599999999999998</v>
      </c>
      <c r="L52" s="304">
        <f>'2020 RW by County'!H52</f>
        <v>0</v>
      </c>
      <c r="M52" s="316">
        <f>'2020 RW by County'!K52</f>
        <v>0</v>
      </c>
      <c r="N52" s="315">
        <f t="shared" si="54"/>
        <v>0.6240452262811097</v>
      </c>
      <c r="O52" s="304">
        <f t="shared" si="39"/>
        <v>0.4680339197108323</v>
      </c>
      <c r="P52" s="342">
        <v>0</v>
      </c>
      <c r="Q52" s="315">
        <f t="shared" si="73"/>
        <v>2.8840452262811094</v>
      </c>
      <c r="R52" s="304">
        <f t="shared" si="74"/>
        <v>0</v>
      </c>
      <c r="S52" s="316">
        <f t="shared" si="75"/>
        <v>2.7280339197108319</v>
      </c>
    </row>
    <row r="53" spans="1:19" x14ac:dyDescent="0.2">
      <c r="A53" s="726"/>
      <c r="B53" s="376" t="s">
        <v>473</v>
      </c>
      <c r="C53" s="329" t="s">
        <v>501</v>
      </c>
      <c r="D53" s="289" t="s">
        <v>501</v>
      </c>
      <c r="E53" s="289" t="s">
        <v>501</v>
      </c>
      <c r="F53" s="289" t="s">
        <v>501</v>
      </c>
      <c r="G53" s="289" t="s">
        <v>501</v>
      </c>
      <c r="H53" s="330" t="s">
        <v>501</v>
      </c>
      <c r="I53" s="323" t="s">
        <v>501</v>
      </c>
      <c r="J53" s="315">
        <f>'2020 RW by County'!F53</f>
        <v>0.02</v>
      </c>
      <c r="K53" s="305">
        <f>'2020 RW by County'!G53</f>
        <v>0.02</v>
      </c>
      <c r="L53" s="304">
        <f>'2020 RW by County'!H53</f>
        <v>0</v>
      </c>
      <c r="M53" s="316">
        <f>'2020 RW by County'!K53</f>
        <v>0</v>
      </c>
      <c r="N53" s="315" t="s">
        <v>501</v>
      </c>
      <c r="O53" s="304" t="s">
        <v>501</v>
      </c>
      <c r="P53" s="342">
        <v>0</v>
      </c>
      <c r="Q53" s="315">
        <f t="shared" ref="Q53" si="78">J53</f>
        <v>0.02</v>
      </c>
      <c r="R53" s="304">
        <f t="shared" ref="R53" si="79">L53+P53</f>
        <v>0</v>
      </c>
      <c r="S53" s="316">
        <f t="shared" ref="S53" si="80">K53+P53</f>
        <v>0.02</v>
      </c>
    </row>
    <row r="54" spans="1:19" x14ac:dyDescent="0.2">
      <c r="A54" s="726"/>
      <c r="B54" s="376" t="s">
        <v>474</v>
      </c>
      <c r="C54" s="331">
        <v>5581.4985470477404</v>
      </c>
      <c r="D54" s="288">
        <v>10784.7346539435</v>
      </c>
      <c r="E54" s="288">
        <v>4124.5543640956403</v>
      </c>
      <c r="F54" s="288">
        <v>4521.9933832338102</v>
      </c>
      <c r="G54" s="288">
        <f t="shared" si="71"/>
        <v>1456.9441829521002</v>
      </c>
      <c r="H54" s="332">
        <f t="shared" si="72"/>
        <v>6262.7412707096901</v>
      </c>
      <c r="I54" s="321">
        <f t="shared" si="1"/>
        <v>4805.7970877575899</v>
      </c>
      <c r="J54" s="315">
        <f>'2020 RW by County'!F54</f>
        <v>0.25</v>
      </c>
      <c r="K54" s="305">
        <f>'2020 RW by County'!G54</f>
        <v>0.25</v>
      </c>
      <c r="L54" s="304">
        <f>'2020 RW by County'!H54</f>
        <v>0</v>
      </c>
      <c r="M54" s="316">
        <f>'2020 RW by County'!K54</f>
        <v>0</v>
      </c>
      <c r="N54" s="315">
        <f t="shared" si="54"/>
        <v>0.33328202803598878</v>
      </c>
      <c r="O54" s="304">
        <f t="shared" si="39"/>
        <v>0.2499615210269916</v>
      </c>
      <c r="P54" s="342">
        <v>0</v>
      </c>
      <c r="Q54" s="315">
        <f t="shared" si="73"/>
        <v>0.58328202803598872</v>
      </c>
      <c r="R54" s="304">
        <f t="shared" si="74"/>
        <v>0</v>
      </c>
      <c r="S54" s="316">
        <f t="shared" si="75"/>
        <v>0.4999615210269916</v>
      </c>
    </row>
    <row r="55" spans="1:19" x14ac:dyDescent="0.2">
      <c r="A55" s="726"/>
      <c r="B55" s="376" t="s">
        <v>475</v>
      </c>
      <c r="C55" s="329" t="s">
        <v>501</v>
      </c>
      <c r="D55" s="289" t="s">
        <v>501</v>
      </c>
      <c r="E55" s="289" t="s">
        <v>501</v>
      </c>
      <c r="F55" s="289" t="s">
        <v>501</v>
      </c>
      <c r="G55" s="289" t="s">
        <v>501</v>
      </c>
      <c r="H55" s="330" t="s">
        <v>501</v>
      </c>
      <c r="I55" s="323" t="s">
        <v>501</v>
      </c>
      <c r="J55" s="315">
        <f>'2020 RW by County'!F55</f>
        <v>0.15</v>
      </c>
      <c r="K55" s="305">
        <f>'2020 RW by County'!G55</f>
        <v>0.15</v>
      </c>
      <c r="L55" s="304">
        <f>'2020 RW by County'!H55</f>
        <v>0</v>
      </c>
      <c r="M55" s="316">
        <f>'2020 RW by County'!K55</f>
        <v>0</v>
      </c>
      <c r="N55" s="315" t="s">
        <v>501</v>
      </c>
      <c r="O55" s="304" t="s">
        <v>501</v>
      </c>
      <c r="P55" s="342">
        <v>0</v>
      </c>
      <c r="Q55" s="315">
        <f t="shared" ref="Q55" si="81">J55</f>
        <v>0.15</v>
      </c>
      <c r="R55" s="304">
        <f t="shared" si="74"/>
        <v>0</v>
      </c>
      <c r="S55" s="316">
        <f t="shared" ref="S55" si="82">K55+P55</f>
        <v>0.15</v>
      </c>
    </row>
    <row r="56" spans="1:19" x14ac:dyDescent="0.2">
      <c r="A56" s="726"/>
      <c r="B56" s="376" t="s">
        <v>476</v>
      </c>
      <c r="C56" s="331">
        <v>4720.7920302299399</v>
      </c>
      <c r="D56" s="288">
        <v>8753.2764322574803</v>
      </c>
      <c r="E56" s="288">
        <v>1270.82046242095</v>
      </c>
      <c r="F56" s="288">
        <v>1305.6535059366099</v>
      </c>
      <c r="G56" s="288">
        <f t="shared" si="71"/>
        <v>3449.9715678089897</v>
      </c>
      <c r="H56" s="332">
        <f t="shared" si="72"/>
        <v>7447.6229263208706</v>
      </c>
      <c r="I56" s="321">
        <f t="shared" si="1"/>
        <v>3997.651358511881</v>
      </c>
      <c r="J56" s="315">
        <f>'2020 RW by County'!F56</f>
        <v>0.13</v>
      </c>
      <c r="K56" s="305">
        <f>'2020 RW by County'!G56</f>
        <v>0.13</v>
      </c>
      <c r="L56" s="304">
        <f>'2020 RW by County'!H56</f>
        <v>0</v>
      </c>
      <c r="M56" s="316">
        <f>'2020 RW by County'!K56</f>
        <v>0</v>
      </c>
      <c r="N56" s="315">
        <f t="shared" si="54"/>
        <v>0.27723712171279896</v>
      </c>
      <c r="O56" s="304">
        <f t="shared" si="39"/>
        <v>0.20792784128459924</v>
      </c>
      <c r="P56" s="342">
        <v>0</v>
      </c>
      <c r="Q56" s="315">
        <f t="shared" si="73"/>
        <v>0.40723712171279897</v>
      </c>
      <c r="R56" s="304">
        <f t="shared" si="74"/>
        <v>0</v>
      </c>
      <c r="S56" s="316">
        <f t="shared" si="75"/>
        <v>0.33792784128459924</v>
      </c>
    </row>
    <row r="57" spans="1:19" x14ac:dyDescent="0.2">
      <c r="A57" s="726"/>
      <c r="B57" s="376" t="s">
        <v>477</v>
      </c>
      <c r="C57" s="331">
        <v>7818.1283393192198</v>
      </c>
      <c r="D57" s="288">
        <v>9725.0997729675601</v>
      </c>
      <c r="E57" s="288">
        <v>619.65047153822002</v>
      </c>
      <c r="F57" s="288">
        <v>665.23489596183197</v>
      </c>
      <c r="G57" s="288">
        <f t="shared" si="71"/>
        <v>7198.477867781</v>
      </c>
      <c r="H57" s="332">
        <f t="shared" si="72"/>
        <v>9059.864877005728</v>
      </c>
      <c r="I57" s="321">
        <f t="shared" si="1"/>
        <v>1861.387009224728</v>
      </c>
      <c r="J57" s="315">
        <f>'2020 RW by County'!F57</f>
        <v>0.5</v>
      </c>
      <c r="K57" s="305">
        <f>'2020 RW by County'!G57</f>
        <v>0.5</v>
      </c>
      <c r="L57" s="304">
        <f>'2020 RW by County'!H57</f>
        <v>0</v>
      </c>
      <c r="M57" s="316">
        <f>'2020 RW by County'!K57</f>
        <v>0</v>
      </c>
      <c r="N57" s="315">
        <f t="shared" si="54"/>
        <v>0.12908718908973488</v>
      </c>
      <c r="O57" s="304">
        <f t="shared" si="39"/>
        <v>9.6815391817301158E-2</v>
      </c>
      <c r="P57" s="342">
        <v>0</v>
      </c>
      <c r="Q57" s="315">
        <f t="shared" si="73"/>
        <v>0.62908718908973493</v>
      </c>
      <c r="R57" s="304">
        <f t="shared" si="74"/>
        <v>0</v>
      </c>
      <c r="S57" s="316">
        <f t="shared" si="75"/>
        <v>0.59681539181730114</v>
      </c>
    </row>
    <row r="58" spans="1:19" x14ac:dyDescent="0.2">
      <c r="A58" s="726"/>
      <c r="B58" s="376" t="s">
        <v>478</v>
      </c>
      <c r="C58" s="331">
        <v>3860.52019068659</v>
      </c>
      <c r="D58" s="288">
        <v>5201.4510053182403</v>
      </c>
      <c r="E58" s="288">
        <v>315.82342408477001</v>
      </c>
      <c r="F58" s="288">
        <v>356.47701550587999</v>
      </c>
      <c r="G58" s="288">
        <f t="shared" si="71"/>
        <v>3544.6967666018199</v>
      </c>
      <c r="H58" s="332">
        <f t="shared" si="72"/>
        <v>4844.9739898123607</v>
      </c>
      <c r="I58" s="321">
        <f t="shared" si="1"/>
        <v>1300.2772232105408</v>
      </c>
      <c r="J58" s="315">
        <f>'2020 RW by County'!F58</f>
        <v>0.14000000000000001</v>
      </c>
      <c r="K58" s="305">
        <f>'2020 RW by County'!G58</f>
        <v>0.14000000000000001</v>
      </c>
      <c r="L58" s="304">
        <f>'2020 RW by County'!H58</f>
        <v>0</v>
      </c>
      <c r="M58" s="316">
        <f>'2020 RW by County'!K58</f>
        <v>0</v>
      </c>
      <c r="N58" s="315">
        <f t="shared" si="54"/>
        <v>9.0174225429651006E-2</v>
      </c>
      <c r="O58" s="304">
        <f t="shared" si="39"/>
        <v>6.7630669072238248E-2</v>
      </c>
      <c r="P58" s="342">
        <v>0</v>
      </c>
      <c r="Q58" s="315">
        <f t="shared" si="73"/>
        <v>0.23017422542965102</v>
      </c>
      <c r="R58" s="304">
        <f t="shared" si="74"/>
        <v>0</v>
      </c>
      <c r="S58" s="316">
        <f t="shared" si="75"/>
        <v>0.20763066907223826</v>
      </c>
    </row>
    <row r="59" spans="1:19" x14ac:dyDescent="0.2">
      <c r="A59" s="726"/>
      <c r="B59" s="375" t="s">
        <v>479</v>
      </c>
      <c r="C59" s="331">
        <v>25487.911223925901</v>
      </c>
      <c r="D59" s="288">
        <v>44213.825608884697</v>
      </c>
      <c r="E59" s="288">
        <v>2670.7691680288399</v>
      </c>
      <c r="F59" s="288">
        <v>3074.3627208430698</v>
      </c>
      <c r="G59" s="288">
        <f t="shared" si="71"/>
        <v>22817.14205589706</v>
      </c>
      <c r="H59" s="332">
        <f t="shared" si="72"/>
        <v>41139.462888041628</v>
      </c>
      <c r="I59" s="321">
        <f t="shared" si="1"/>
        <v>18322.320832144567</v>
      </c>
      <c r="J59" s="315">
        <f>'2020 RW by County'!F59</f>
        <v>1.98</v>
      </c>
      <c r="K59" s="305">
        <f>'2020 RW by County'!G59</f>
        <v>1.6560000000000001</v>
      </c>
      <c r="L59" s="304">
        <f>'2020 RW by County'!H59</f>
        <v>0</v>
      </c>
      <c r="M59" s="316">
        <f>'2020 RW by County'!K59</f>
        <v>0</v>
      </c>
      <c r="N59" s="315">
        <f t="shared" si="54"/>
        <v>1.2706529497092256</v>
      </c>
      <c r="O59" s="304">
        <f t="shared" si="39"/>
        <v>0.9529897122819192</v>
      </c>
      <c r="P59" s="342">
        <v>0</v>
      </c>
      <c r="Q59" s="315">
        <f t="shared" si="73"/>
        <v>3.2506529497092256</v>
      </c>
      <c r="R59" s="304">
        <f t="shared" si="74"/>
        <v>0</v>
      </c>
      <c r="S59" s="316">
        <f t="shared" si="75"/>
        <v>2.6089897122819194</v>
      </c>
    </row>
    <row r="60" spans="1:19" x14ac:dyDescent="0.2">
      <c r="A60" s="726"/>
      <c r="B60" s="376" t="s">
        <v>480</v>
      </c>
      <c r="C60" s="331">
        <v>8686.7557257744593</v>
      </c>
      <c r="D60" s="288">
        <v>13601.8047883941</v>
      </c>
      <c r="E60" s="288">
        <v>666.67587674936999</v>
      </c>
      <c r="F60" s="288">
        <v>699.92872459676005</v>
      </c>
      <c r="G60" s="288">
        <f t="shared" si="71"/>
        <v>8020.0798490250891</v>
      </c>
      <c r="H60" s="332">
        <f t="shared" si="72"/>
        <v>12901.876063797339</v>
      </c>
      <c r="I60" s="321">
        <f t="shared" si="1"/>
        <v>4881.7962147722501</v>
      </c>
      <c r="J60" s="315">
        <f>'2020 RW by County'!F60</f>
        <v>0.68</v>
      </c>
      <c r="K60" s="305">
        <f>'2020 RW by County'!G60</f>
        <v>0.68</v>
      </c>
      <c r="L60" s="304">
        <f>'2020 RW by County'!H60</f>
        <v>0</v>
      </c>
      <c r="M60" s="316">
        <f>'2020 RW by County'!K60</f>
        <v>0</v>
      </c>
      <c r="N60" s="315">
        <f t="shared" si="54"/>
        <v>0.3385525674944555</v>
      </c>
      <c r="O60" s="304">
        <f t="shared" si="39"/>
        <v>0.25391442562084166</v>
      </c>
      <c r="P60" s="342">
        <v>0</v>
      </c>
      <c r="Q60" s="315">
        <f t="shared" si="73"/>
        <v>1.0185525674944556</v>
      </c>
      <c r="R60" s="304">
        <f t="shared" si="74"/>
        <v>0</v>
      </c>
      <c r="S60" s="316">
        <f t="shared" si="75"/>
        <v>0.9339144256208417</v>
      </c>
    </row>
    <row r="61" spans="1:19" x14ac:dyDescent="0.2">
      <c r="A61" s="726"/>
      <c r="B61" s="376" t="s">
        <v>481</v>
      </c>
      <c r="C61" s="331">
        <v>23453.264741572901</v>
      </c>
      <c r="D61" s="288">
        <v>35391.421508856904</v>
      </c>
      <c r="E61" s="288">
        <v>2250.7040708925101</v>
      </c>
      <c r="F61" s="288">
        <v>2443.2569140953601</v>
      </c>
      <c r="G61" s="288">
        <f t="shared" si="71"/>
        <v>21202.560670680392</v>
      </c>
      <c r="H61" s="332">
        <f t="shared" si="72"/>
        <v>32948.164594761547</v>
      </c>
      <c r="I61" s="321">
        <f t="shared" si="1"/>
        <v>11745.603924081155</v>
      </c>
      <c r="J61" s="315">
        <f>'2020 RW by County'!F61</f>
        <v>1.1499999999999999</v>
      </c>
      <c r="K61" s="305">
        <f>'2020 RW by County'!G61</f>
        <v>1.25</v>
      </c>
      <c r="L61" s="304">
        <f>'2020 RW by County'!H61</f>
        <v>0</v>
      </c>
      <c r="M61" s="316">
        <f>'2020 RW by County'!K61</f>
        <v>0</v>
      </c>
      <c r="N61" s="315">
        <f t="shared" si="54"/>
        <v>0.81455763213502819</v>
      </c>
      <c r="O61" s="304">
        <f t="shared" si="39"/>
        <v>0.61091822410127117</v>
      </c>
      <c r="P61" s="342">
        <v>0</v>
      </c>
      <c r="Q61" s="315">
        <f t="shared" si="73"/>
        <v>1.964557632135028</v>
      </c>
      <c r="R61" s="304">
        <f t="shared" si="74"/>
        <v>0</v>
      </c>
      <c r="S61" s="316">
        <f t="shared" si="75"/>
        <v>1.8609182241012712</v>
      </c>
    </row>
    <row r="62" spans="1:19" x14ac:dyDescent="0.2">
      <c r="A62" s="726"/>
      <c r="B62" s="376" t="s">
        <v>482</v>
      </c>
      <c r="C62" s="331">
        <v>85171.001252563306</v>
      </c>
      <c r="D62" s="288">
        <v>105475.576942802</v>
      </c>
      <c r="E62" s="288">
        <v>6809.1779557316204</v>
      </c>
      <c r="F62" s="288">
        <v>8279.8282980434105</v>
      </c>
      <c r="G62" s="288">
        <f t="shared" si="71"/>
        <v>78361.823296831688</v>
      </c>
      <c r="H62" s="332">
        <f t="shared" si="72"/>
        <v>97195.748644758583</v>
      </c>
      <c r="I62" s="321">
        <f t="shared" si="1"/>
        <v>18833.925347926895</v>
      </c>
      <c r="J62" s="315">
        <f>'2020 RW by County'!F62</f>
        <v>7.62</v>
      </c>
      <c r="K62" s="305">
        <f>'2020 RW by County'!G62</f>
        <v>7.62</v>
      </c>
      <c r="L62" s="304">
        <f>'2020 RW by County'!H62</f>
        <v>0</v>
      </c>
      <c r="M62" s="316">
        <f>'2020 RW by County'!K62</f>
        <v>4.8099999999999996</v>
      </c>
      <c r="N62" s="315">
        <f t="shared" si="54"/>
        <v>1.3061327228787301</v>
      </c>
      <c r="O62" s="304">
        <f t="shared" si="39"/>
        <v>0.97959954215904754</v>
      </c>
      <c r="P62" s="342">
        <v>0</v>
      </c>
      <c r="Q62" s="315">
        <f t="shared" si="73"/>
        <v>8.9261327228787302</v>
      </c>
      <c r="R62" s="304">
        <f t="shared" si="74"/>
        <v>0</v>
      </c>
      <c r="S62" s="316">
        <f t="shared" si="75"/>
        <v>8.5995995421590479</v>
      </c>
    </row>
    <row r="63" spans="1:19" ht="22.5" x14ac:dyDescent="0.2">
      <c r="A63" s="726"/>
      <c r="B63" s="376" t="s">
        <v>483</v>
      </c>
      <c r="C63" s="331">
        <v>40444.792733521201</v>
      </c>
      <c r="D63" s="288">
        <v>51510.823252876799</v>
      </c>
      <c r="E63" s="288">
        <v>2821.2659413296601</v>
      </c>
      <c r="F63" s="288">
        <v>2966.5821111239902</v>
      </c>
      <c r="G63" s="288">
        <f t="shared" si="71"/>
        <v>37623.526792191544</v>
      </c>
      <c r="H63" s="332">
        <f t="shared" si="72"/>
        <v>48544.241141752806</v>
      </c>
      <c r="I63" s="321">
        <f t="shared" si="1"/>
        <v>10920.714349561262</v>
      </c>
      <c r="J63" s="315">
        <f>'2020 RW by County'!F63</f>
        <v>3.87</v>
      </c>
      <c r="K63" s="305">
        <f>'2020 RW by County'!G63</f>
        <v>0.54</v>
      </c>
      <c r="L63" s="304">
        <f>'2020 RW by County'!H63</f>
        <v>0</v>
      </c>
      <c r="M63" s="316">
        <f>'2020 RW by County'!K63</f>
        <v>0</v>
      </c>
      <c r="N63" s="315">
        <f t="shared" si="54"/>
        <v>0.7573515401420734</v>
      </c>
      <c r="O63" s="304">
        <f t="shared" si="39"/>
        <v>0.5680136551065551</v>
      </c>
      <c r="P63" s="342">
        <v>0</v>
      </c>
      <c r="Q63" s="315">
        <f t="shared" si="73"/>
        <v>4.6273515401420733</v>
      </c>
      <c r="R63" s="304">
        <f t="shared" si="74"/>
        <v>0</v>
      </c>
      <c r="S63" s="316">
        <f t="shared" si="75"/>
        <v>1.1080136551065551</v>
      </c>
    </row>
    <row r="64" spans="1:19" x14ac:dyDescent="0.2">
      <c r="A64" s="726"/>
      <c r="B64" s="376" t="s">
        <v>484</v>
      </c>
      <c r="C64" s="329" t="s">
        <v>501</v>
      </c>
      <c r="D64" s="289" t="s">
        <v>501</v>
      </c>
      <c r="E64" s="289" t="s">
        <v>501</v>
      </c>
      <c r="F64" s="289" t="s">
        <v>501</v>
      </c>
      <c r="G64" s="289" t="s">
        <v>501</v>
      </c>
      <c r="H64" s="330" t="s">
        <v>501</v>
      </c>
      <c r="I64" s="323" t="s">
        <v>501</v>
      </c>
      <c r="J64" s="315">
        <f>'2020 RW by County'!F64</f>
        <v>0.02</v>
      </c>
      <c r="K64" s="305">
        <f>'2020 RW by County'!G64</f>
        <v>0.02</v>
      </c>
      <c r="L64" s="304">
        <f>'2020 RW by County'!H64</f>
        <v>0</v>
      </c>
      <c r="M64" s="316">
        <f>'2020 RW by County'!K64</f>
        <v>0</v>
      </c>
      <c r="N64" s="315" t="s">
        <v>501</v>
      </c>
      <c r="O64" s="304" t="s">
        <v>501</v>
      </c>
      <c r="P64" s="342">
        <v>0</v>
      </c>
      <c r="Q64" s="315">
        <f t="shared" ref="Q64" si="83">J64</f>
        <v>0.02</v>
      </c>
      <c r="R64" s="304">
        <f t="shared" ref="R64" si="84">L64+P64</f>
        <v>0</v>
      </c>
      <c r="S64" s="316">
        <f t="shared" ref="S64" si="85">K64+P64</f>
        <v>0.02</v>
      </c>
    </row>
    <row r="65" spans="1:19" x14ac:dyDescent="0.2">
      <c r="A65" s="726"/>
      <c r="B65" s="376" t="s">
        <v>485</v>
      </c>
      <c r="C65" s="331">
        <v>4287.6285546793797</v>
      </c>
      <c r="D65" s="288">
        <v>5795.89643846116</v>
      </c>
      <c r="E65" s="288">
        <v>211.99789267482001</v>
      </c>
      <c r="F65" s="288">
        <v>223.5738479437</v>
      </c>
      <c r="G65" s="288">
        <f t="shared" si="71"/>
        <v>4075.6306620045598</v>
      </c>
      <c r="H65" s="332">
        <f t="shared" si="72"/>
        <v>5572.3225905174604</v>
      </c>
      <c r="I65" s="321">
        <f t="shared" si="1"/>
        <v>1496.6919285129006</v>
      </c>
      <c r="J65" s="315">
        <f>'2020 RW by County'!F65</f>
        <v>0.3</v>
      </c>
      <c r="K65" s="305">
        <f>'2020 RW by County'!G65</f>
        <v>0.28000000000000003</v>
      </c>
      <c r="L65" s="304">
        <f>'2020 RW by County'!H65</f>
        <v>0</v>
      </c>
      <c r="M65" s="316">
        <f>'2020 RW by County'!K65</f>
        <v>0.02</v>
      </c>
      <c r="N65" s="315">
        <f t="shared" si="54"/>
        <v>0.10379558524236966</v>
      </c>
      <c r="O65" s="304">
        <f t="shared" si="39"/>
        <v>7.784668893177725E-2</v>
      </c>
      <c r="P65" s="342">
        <v>0</v>
      </c>
      <c r="Q65" s="315">
        <f t="shared" si="73"/>
        <v>0.40379558524236964</v>
      </c>
      <c r="R65" s="304">
        <f t="shared" si="74"/>
        <v>0</v>
      </c>
      <c r="S65" s="316">
        <f t="shared" si="75"/>
        <v>0.35784668893177729</v>
      </c>
    </row>
    <row r="66" spans="1:19" ht="22.5" x14ac:dyDescent="0.2">
      <c r="A66" s="726"/>
      <c r="B66" s="376" t="s">
        <v>486</v>
      </c>
      <c r="C66" s="329" t="s">
        <v>501</v>
      </c>
      <c r="D66" s="289" t="s">
        <v>501</v>
      </c>
      <c r="E66" s="289" t="s">
        <v>501</v>
      </c>
      <c r="F66" s="289" t="s">
        <v>501</v>
      </c>
      <c r="G66" s="289" t="s">
        <v>501</v>
      </c>
      <c r="H66" s="330" t="s">
        <v>501</v>
      </c>
      <c r="I66" s="323" t="s">
        <v>501</v>
      </c>
      <c r="J66" s="315">
        <f>'2020 RW by County'!F66</f>
        <v>0.12</v>
      </c>
      <c r="K66" s="305">
        <f>'2020 RW by County'!G66</f>
        <v>0.12</v>
      </c>
      <c r="L66" s="304">
        <f>'2020 RW by County'!H66</f>
        <v>0</v>
      </c>
      <c r="M66" s="316">
        <f>'2020 RW by County'!K66</f>
        <v>0</v>
      </c>
      <c r="N66" s="315" t="s">
        <v>501</v>
      </c>
      <c r="O66" s="304" t="s">
        <v>501</v>
      </c>
      <c r="P66" s="342">
        <v>0</v>
      </c>
      <c r="Q66" s="315">
        <f t="shared" ref="Q66" si="86">J66</f>
        <v>0.12</v>
      </c>
      <c r="R66" s="304">
        <f t="shared" si="74"/>
        <v>0</v>
      </c>
      <c r="S66" s="316">
        <f t="shared" ref="S66" si="87">K66+P66</f>
        <v>0.12</v>
      </c>
    </row>
    <row r="67" spans="1:19" x14ac:dyDescent="0.2">
      <c r="A67" s="726"/>
      <c r="B67" s="376" t="s">
        <v>487</v>
      </c>
      <c r="C67" s="331">
        <v>437.04297295728998</v>
      </c>
      <c r="D67" s="288">
        <v>504.97569999998001</v>
      </c>
      <c r="E67" s="288">
        <v>56.15635965373</v>
      </c>
      <c r="F67" s="288">
        <v>56.798633239920001</v>
      </c>
      <c r="G67" s="288">
        <f t="shared" si="71"/>
        <v>380.88661330355995</v>
      </c>
      <c r="H67" s="332">
        <f t="shared" si="72"/>
        <v>448.17706676006003</v>
      </c>
      <c r="I67" s="321">
        <f t="shared" si="1"/>
        <v>67.290453456500074</v>
      </c>
      <c r="J67" s="315">
        <f>'2020 RW by County'!F67</f>
        <v>0.14000000000000001</v>
      </c>
      <c r="K67" s="305">
        <f>'2020 RW by County'!G67</f>
        <v>0.14000000000000001</v>
      </c>
      <c r="L67" s="304">
        <f>'2020 RW by County'!H67</f>
        <v>0</v>
      </c>
      <c r="M67" s="316">
        <f>'2020 RW by County'!K67</f>
        <v>0</v>
      </c>
      <c r="N67" s="315">
        <f t="shared" si="54"/>
        <v>4.6665929472082795E-3</v>
      </c>
      <c r="O67" s="304">
        <f t="shared" si="39"/>
        <v>3.4999447104062096E-3</v>
      </c>
      <c r="P67" s="342">
        <v>0</v>
      </c>
      <c r="Q67" s="315">
        <f t="shared" si="73"/>
        <v>0.14466659294720829</v>
      </c>
      <c r="R67" s="304">
        <f t="shared" si="74"/>
        <v>0</v>
      </c>
      <c r="S67" s="316">
        <f t="shared" si="75"/>
        <v>0.14349994471040622</v>
      </c>
    </row>
    <row r="68" spans="1:19" ht="22.5" x14ac:dyDescent="0.2">
      <c r="A68" s="726"/>
      <c r="B68" s="376" t="s">
        <v>488</v>
      </c>
      <c r="C68" s="331">
        <v>36684.447368654502</v>
      </c>
      <c r="D68" s="288">
        <v>59146.894800863403</v>
      </c>
      <c r="E68" s="288">
        <v>776.74746530830998</v>
      </c>
      <c r="F68" s="288">
        <v>885.91544571305997</v>
      </c>
      <c r="G68" s="288">
        <f t="shared" si="71"/>
        <v>35907.699903346191</v>
      </c>
      <c r="H68" s="332">
        <f t="shared" si="72"/>
        <v>58260.979355150346</v>
      </c>
      <c r="I68" s="321">
        <f t="shared" si="1"/>
        <v>22353.279451804156</v>
      </c>
      <c r="J68" s="315">
        <f>'2020 RW by County'!F68</f>
        <v>3.5</v>
      </c>
      <c r="K68" s="305">
        <f>'2020 RW by County'!G68</f>
        <v>3.9809999999999999</v>
      </c>
      <c r="L68" s="304">
        <f>'2020 RW by County'!H68</f>
        <v>0.6</v>
      </c>
      <c r="M68" s="316">
        <f>'2020 RW by County'!K68</f>
        <v>0</v>
      </c>
      <c r="N68" s="315">
        <f t="shared" si="54"/>
        <v>1.5501999299826179</v>
      </c>
      <c r="O68" s="304">
        <f t="shared" si="39"/>
        <v>1.1626499474869634</v>
      </c>
      <c r="P68" s="342">
        <v>0</v>
      </c>
      <c r="Q68" s="315">
        <f t="shared" si="73"/>
        <v>5.0501999299826181</v>
      </c>
      <c r="R68" s="304">
        <f t="shared" si="74"/>
        <v>0.6</v>
      </c>
      <c r="S68" s="316">
        <f t="shared" si="75"/>
        <v>5.1436499474869635</v>
      </c>
    </row>
    <row r="69" spans="1:19" ht="22.5" x14ac:dyDescent="0.2">
      <c r="A69" s="726"/>
      <c r="B69" s="376" t="s">
        <v>489</v>
      </c>
      <c r="C69" s="331">
        <v>41263.2458143447</v>
      </c>
      <c r="D69" s="288">
        <v>61913.955755882402</v>
      </c>
      <c r="E69" s="288">
        <v>34223.425681675551</v>
      </c>
      <c r="F69" s="288">
        <v>41401.168842599</v>
      </c>
      <c r="G69" s="288">
        <f t="shared" si="71"/>
        <v>7039.8201326691487</v>
      </c>
      <c r="H69" s="332">
        <f t="shared" si="72"/>
        <v>20512.786913283402</v>
      </c>
      <c r="I69" s="321">
        <f t="shared" si="1"/>
        <v>13472.966780614253</v>
      </c>
      <c r="J69" s="315">
        <f>'2020 RW by County'!F69</f>
        <v>1.52</v>
      </c>
      <c r="K69" s="305">
        <f>'2020 RW by County'!G69</f>
        <v>0.86899999999999999</v>
      </c>
      <c r="L69" s="304">
        <f>'2020 RW by County'!H69</f>
        <v>0</v>
      </c>
      <c r="M69" s="316">
        <f>'2020 RW by County'!K69</f>
        <v>0</v>
      </c>
      <c r="N69" s="315">
        <f t="shared" si="54"/>
        <v>0.93435024623559848</v>
      </c>
      <c r="O69" s="304">
        <f t="shared" si="39"/>
        <v>0.70076268467669889</v>
      </c>
      <c r="P69" s="342">
        <v>0</v>
      </c>
      <c r="Q69" s="315">
        <f t="shared" si="73"/>
        <v>2.4543502462355984</v>
      </c>
      <c r="R69" s="304">
        <f t="shared" si="74"/>
        <v>0</v>
      </c>
      <c r="S69" s="316">
        <f t="shared" si="75"/>
        <v>1.5697626846766988</v>
      </c>
    </row>
    <row r="70" spans="1:19" ht="22.5" x14ac:dyDescent="0.2">
      <c r="A70" s="726"/>
      <c r="B70" s="376" t="s">
        <v>490</v>
      </c>
      <c r="C70" s="331">
        <v>51597.975831832802</v>
      </c>
      <c r="D70" s="288">
        <v>70131.598487489304</v>
      </c>
      <c r="E70" s="288">
        <v>38931.84158930515</v>
      </c>
      <c r="F70" s="288">
        <v>41440.413681100901</v>
      </c>
      <c r="G70" s="288">
        <f t="shared" si="71"/>
        <v>12666.134242527653</v>
      </c>
      <c r="H70" s="332">
        <f t="shared" si="72"/>
        <v>28691.184806388403</v>
      </c>
      <c r="I70" s="321">
        <f t="shared" si="1"/>
        <v>16025.05056386075</v>
      </c>
      <c r="J70" s="315">
        <f>'2020 RW by County'!F70</f>
        <v>2.14</v>
      </c>
      <c r="K70" s="305">
        <f>'2020 RW by County'!G70</f>
        <v>1.97</v>
      </c>
      <c r="L70" s="304">
        <f>'2020 RW by County'!H70</f>
        <v>0.26</v>
      </c>
      <c r="M70" s="316">
        <f>'2020 RW by County'!K70</f>
        <v>0</v>
      </c>
      <c r="N70" s="315">
        <f t="shared" si="54"/>
        <v>1.1113372566037429</v>
      </c>
      <c r="O70" s="304">
        <f t="shared" si="39"/>
        <v>0.83350294245280721</v>
      </c>
      <c r="P70" s="342">
        <v>0</v>
      </c>
      <c r="Q70" s="315">
        <f t="shared" si="73"/>
        <v>3.2513372566037431</v>
      </c>
      <c r="R70" s="304">
        <f t="shared" si="74"/>
        <v>0.26</v>
      </c>
      <c r="S70" s="316">
        <f t="shared" si="75"/>
        <v>2.8035029424528073</v>
      </c>
    </row>
    <row r="71" spans="1:19" x14ac:dyDescent="0.2">
      <c r="A71" s="726"/>
      <c r="B71" s="376" t="s">
        <v>491</v>
      </c>
      <c r="C71" s="331">
        <v>713.90588968116003</v>
      </c>
      <c r="D71" s="288">
        <v>1074.5484439424599</v>
      </c>
      <c r="E71" s="288">
        <v>127.70750519224001</v>
      </c>
      <c r="F71" s="288">
        <v>129.16812617718</v>
      </c>
      <c r="G71" s="288">
        <f t="shared" si="71"/>
        <v>586.19838448892006</v>
      </c>
      <c r="H71" s="332">
        <f t="shared" si="72"/>
        <v>945.38031776527987</v>
      </c>
      <c r="I71" s="321">
        <f t="shared" si="1"/>
        <v>359.18193327635981</v>
      </c>
      <c r="J71" s="315">
        <f>'2020 RW by County'!F71</f>
        <v>0.04</v>
      </c>
      <c r="K71" s="305">
        <f>'2020 RW by County'!G71</f>
        <v>0.04</v>
      </c>
      <c r="L71" s="304">
        <f>'2020 RW by County'!H71</f>
        <v>0</v>
      </c>
      <c r="M71" s="316">
        <f>'2020 RW by County'!K71</f>
        <v>0</v>
      </c>
      <c r="N71" s="315">
        <f t="shared" si="54"/>
        <v>2.4909267072715551E-2</v>
      </c>
      <c r="O71" s="304">
        <f t="shared" si="39"/>
        <v>1.8681950304536662E-2</v>
      </c>
      <c r="P71" s="342">
        <v>0</v>
      </c>
      <c r="Q71" s="315">
        <f t="shared" si="73"/>
        <v>6.4909267072715549E-2</v>
      </c>
      <c r="R71" s="304">
        <f t="shared" si="74"/>
        <v>0</v>
      </c>
      <c r="S71" s="316">
        <f t="shared" si="75"/>
        <v>5.8681950304536663E-2</v>
      </c>
    </row>
    <row r="72" spans="1:19" x14ac:dyDescent="0.2">
      <c r="A72" s="726"/>
      <c r="B72" s="376" t="s">
        <v>492</v>
      </c>
      <c r="C72" s="331">
        <v>465.23558335849998</v>
      </c>
      <c r="D72" s="288">
        <v>503.92675429660198</v>
      </c>
      <c r="E72" s="288">
        <v>54.895054083600002</v>
      </c>
      <c r="F72" s="288">
        <v>55.522901819200001</v>
      </c>
      <c r="G72" s="288">
        <f t="shared" si="71"/>
        <v>410.34052927489995</v>
      </c>
      <c r="H72" s="332">
        <f t="shared" si="72"/>
        <v>448.40385247740198</v>
      </c>
      <c r="I72" s="321">
        <f t="shared" si="1"/>
        <v>38.063323202502033</v>
      </c>
      <c r="J72" s="315">
        <f>'2020 RW by County'!F72</f>
        <v>0.36</v>
      </c>
      <c r="K72" s="305">
        <f>'2020 RW by County'!G72</f>
        <v>0.36</v>
      </c>
      <c r="L72" s="304">
        <f>'2020 RW by County'!H72</f>
        <v>0</v>
      </c>
      <c r="M72" s="316">
        <f>'2020 RW by County'!K72</f>
        <v>0</v>
      </c>
      <c r="N72" s="315">
        <f t="shared" si="54"/>
        <v>2.6396914640935162E-3</v>
      </c>
      <c r="O72" s="304">
        <f t="shared" si="39"/>
        <v>1.9797685980701371E-3</v>
      </c>
      <c r="P72" s="342">
        <v>0</v>
      </c>
      <c r="Q72" s="315">
        <f t="shared" si="73"/>
        <v>0.36263969146409353</v>
      </c>
      <c r="R72" s="304">
        <f t="shared" si="74"/>
        <v>0</v>
      </c>
      <c r="S72" s="316">
        <f t="shared" si="75"/>
        <v>0.36197976859807013</v>
      </c>
    </row>
    <row r="73" spans="1:19" x14ac:dyDescent="0.2">
      <c r="A73" s="726"/>
      <c r="B73" s="376" t="s">
        <v>493</v>
      </c>
      <c r="C73" s="329" t="s">
        <v>501</v>
      </c>
      <c r="D73" s="289" t="s">
        <v>501</v>
      </c>
      <c r="E73" s="289" t="s">
        <v>501</v>
      </c>
      <c r="F73" s="289" t="s">
        <v>501</v>
      </c>
      <c r="G73" s="289" t="s">
        <v>501</v>
      </c>
      <c r="H73" s="330" t="s">
        <v>501</v>
      </c>
      <c r="I73" s="323" t="s">
        <v>501</v>
      </c>
      <c r="J73" s="315">
        <f>'2020 RW by County'!F73</f>
        <v>0.01</v>
      </c>
      <c r="K73" s="305">
        <f>'2020 RW by County'!G73</f>
        <v>0.01</v>
      </c>
      <c r="L73" s="304">
        <f>'2020 RW by County'!H73</f>
        <v>0</v>
      </c>
      <c r="M73" s="316">
        <f>'2020 RW by County'!K73</f>
        <v>0</v>
      </c>
      <c r="N73" s="315" t="s">
        <v>501</v>
      </c>
      <c r="O73" s="304" t="s">
        <v>501</v>
      </c>
      <c r="P73" s="342">
        <v>0</v>
      </c>
      <c r="Q73" s="315">
        <f t="shared" ref="Q73" si="88">J73</f>
        <v>0.01</v>
      </c>
      <c r="R73" s="304">
        <f t="shared" ref="R73" si="89">L73+P73</f>
        <v>0</v>
      </c>
      <c r="S73" s="316">
        <f t="shared" ref="S73" si="90">K73+P73</f>
        <v>0.01</v>
      </c>
    </row>
    <row r="74" spans="1:19" x14ac:dyDescent="0.2">
      <c r="A74" s="726"/>
      <c r="B74" s="376" t="s">
        <v>494</v>
      </c>
      <c r="C74" s="331">
        <v>1359.0569763174001</v>
      </c>
      <c r="D74" s="288">
        <v>1381.5271592915999</v>
      </c>
      <c r="E74" s="290">
        <v>0</v>
      </c>
      <c r="F74" s="290">
        <v>0</v>
      </c>
      <c r="G74" s="288">
        <f t="shared" si="71"/>
        <v>1359.0569763174001</v>
      </c>
      <c r="H74" s="332">
        <f t="shared" si="72"/>
        <v>1381.5271592915999</v>
      </c>
      <c r="I74" s="321">
        <f t="shared" si="1"/>
        <v>22.470182974199815</v>
      </c>
      <c r="J74" s="315">
        <f>'2020 RW by County'!F74</f>
        <v>0.04</v>
      </c>
      <c r="K74" s="305">
        <f>'2020 RW by County'!G74</f>
        <v>0.04</v>
      </c>
      <c r="L74" s="304">
        <f>'2020 RW by County'!H74</f>
        <v>0</v>
      </c>
      <c r="M74" s="316">
        <f>'2020 RW by County'!K74</f>
        <v>0</v>
      </c>
      <c r="N74" s="315">
        <f t="shared" si="54"/>
        <v>1.5583071892607571E-3</v>
      </c>
      <c r="O74" s="304">
        <f t="shared" si="39"/>
        <v>1.1687303919455678E-3</v>
      </c>
      <c r="P74" s="342">
        <v>0</v>
      </c>
      <c r="Q74" s="315">
        <f t="shared" si="73"/>
        <v>4.1558307189260756E-2</v>
      </c>
      <c r="R74" s="304">
        <f t="shared" si="74"/>
        <v>0</v>
      </c>
      <c r="S74" s="316">
        <f t="shared" si="75"/>
        <v>4.1168730391945567E-2</v>
      </c>
    </row>
    <row r="75" spans="1:19" x14ac:dyDescent="0.2">
      <c r="A75" s="726"/>
      <c r="B75" s="376" t="s">
        <v>495</v>
      </c>
      <c r="C75" s="331">
        <v>1648.92528737167</v>
      </c>
      <c r="D75" s="288">
        <v>1732.23046848182</v>
      </c>
      <c r="E75" s="290">
        <v>0</v>
      </c>
      <c r="F75" s="290">
        <v>0</v>
      </c>
      <c r="G75" s="288">
        <f t="shared" si="71"/>
        <v>1648.92528737167</v>
      </c>
      <c r="H75" s="332">
        <f t="shared" si="72"/>
        <v>1732.23046848182</v>
      </c>
      <c r="I75" s="321">
        <f t="shared" si="1"/>
        <v>83.305181110149988</v>
      </c>
      <c r="J75" s="315">
        <f>'2020 RW by County'!F75</f>
        <v>0.03</v>
      </c>
      <c r="K75" s="305">
        <f>'2020 RW by County'!G75</f>
        <v>0.03</v>
      </c>
      <c r="L75" s="304">
        <f>'2020 RW by County'!H75</f>
        <v>0</v>
      </c>
      <c r="M75" s="316">
        <f>'2020 RW by County'!K75</f>
        <v>0</v>
      </c>
      <c r="N75" s="315">
        <f t="shared" si="54"/>
        <v>5.777214309988901E-3</v>
      </c>
      <c r="O75" s="304">
        <f t="shared" si="39"/>
        <v>4.3329107324916755E-3</v>
      </c>
      <c r="P75" s="342">
        <v>0</v>
      </c>
      <c r="Q75" s="315">
        <f t="shared" si="73"/>
        <v>3.5777214309988897E-2</v>
      </c>
      <c r="R75" s="304">
        <f t="shared" si="74"/>
        <v>0</v>
      </c>
      <c r="S75" s="316">
        <f t="shared" si="75"/>
        <v>3.4332910732491673E-2</v>
      </c>
    </row>
    <row r="76" spans="1:19" x14ac:dyDescent="0.2">
      <c r="A76" s="726"/>
      <c r="B76" s="430" t="s">
        <v>496</v>
      </c>
      <c r="C76" s="331">
        <v>2777.7340068298499</v>
      </c>
      <c r="D76" s="288">
        <v>2881.6786297777498</v>
      </c>
      <c r="E76" s="290">
        <v>0</v>
      </c>
      <c r="F76" s="290">
        <v>0</v>
      </c>
      <c r="G76" s="288">
        <f>C76-E76</f>
        <v>2777.7340068298499</v>
      </c>
      <c r="H76" s="332">
        <f>D76-F76</f>
        <v>2881.6786297777498</v>
      </c>
      <c r="I76" s="321">
        <f>H76-G76</f>
        <v>103.94462294789992</v>
      </c>
      <c r="J76" s="315">
        <f>'2020 RW by County'!F76</f>
        <v>0.11</v>
      </c>
      <c r="K76" s="305">
        <f>'2020 RW by County'!G76</f>
        <v>0.11</v>
      </c>
      <c r="L76" s="304">
        <f>'2020 RW by County'!H76</f>
        <v>0</v>
      </c>
      <c r="M76" s="316">
        <f>'2020 RW by County'!K76</f>
        <v>0</v>
      </c>
      <c r="N76" s="315">
        <f>(I76*0.95)*73/1000000</f>
        <v>7.2085596014368584E-3</v>
      </c>
      <c r="O76" s="304">
        <f t="shared" si="39"/>
        <v>5.4064197010776438E-3</v>
      </c>
      <c r="P76" s="342">
        <v>0</v>
      </c>
      <c r="Q76" s="315">
        <f t="shared" si="73"/>
        <v>0.11720855960143686</v>
      </c>
      <c r="R76" s="304">
        <f t="shared" si="74"/>
        <v>0</v>
      </c>
      <c r="S76" s="316">
        <f t="shared" si="75"/>
        <v>0.11540641970107765</v>
      </c>
    </row>
    <row r="77" spans="1:19" x14ac:dyDescent="0.2">
      <c r="A77" s="726"/>
      <c r="B77" s="430" t="s">
        <v>497</v>
      </c>
      <c r="C77" s="331">
        <v>2269.0904895055501</v>
      </c>
      <c r="D77" s="288">
        <v>2295.04261487445</v>
      </c>
      <c r="E77" s="290">
        <v>0</v>
      </c>
      <c r="F77" s="290">
        <v>0</v>
      </c>
      <c r="G77" s="288">
        <f t="shared" si="71"/>
        <v>2269.0904895055501</v>
      </c>
      <c r="H77" s="332">
        <f t="shared" si="72"/>
        <v>2295.04261487445</v>
      </c>
      <c r="I77" s="321">
        <f t="shared" ref="I77:I100" si="91">H77-G77</f>
        <v>25.952125368899942</v>
      </c>
      <c r="J77" s="315">
        <f>'2020 RW by County'!F77</f>
        <v>0.13</v>
      </c>
      <c r="K77" s="305">
        <f>'2020 RW by County'!G77</f>
        <v>0.13</v>
      </c>
      <c r="L77" s="304">
        <f>'2020 RW by County'!H77</f>
        <v>0</v>
      </c>
      <c r="M77" s="316">
        <f>'2020 RW by County'!K77</f>
        <v>0</v>
      </c>
      <c r="N77" s="315">
        <f t="shared" si="54"/>
        <v>1.7997798943332108E-3</v>
      </c>
      <c r="O77" s="304">
        <f t="shared" si="39"/>
        <v>1.349834920749908E-3</v>
      </c>
      <c r="P77" s="342">
        <v>0</v>
      </c>
      <c r="Q77" s="315">
        <f t="shared" si="73"/>
        <v>0.13179977989433322</v>
      </c>
      <c r="R77" s="304">
        <f t="shared" si="74"/>
        <v>0</v>
      </c>
      <c r="S77" s="316">
        <f t="shared" si="75"/>
        <v>0.13134983492074992</v>
      </c>
    </row>
    <row r="78" spans="1:19" x14ac:dyDescent="0.2">
      <c r="A78" s="726"/>
      <c r="B78" s="430" t="s">
        <v>498</v>
      </c>
      <c r="C78" s="331">
        <v>75027.858942095394</v>
      </c>
      <c r="D78" s="288">
        <v>99746.716340944302</v>
      </c>
      <c r="E78" s="288">
        <v>5339.7509228347999</v>
      </c>
      <c r="F78" s="288">
        <v>6006.40144565828</v>
      </c>
      <c r="G78" s="288">
        <f t="shared" si="71"/>
        <v>69688.108019260588</v>
      </c>
      <c r="H78" s="332">
        <f t="shared" si="72"/>
        <v>93740.314895286021</v>
      </c>
      <c r="I78" s="321">
        <f t="shared" si="91"/>
        <v>24052.206876025433</v>
      </c>
      <c r="J78" s="315">
        <f>'2020 RW by County'!F78</f>
        <v>1.25</v>
      </c>
      <c r="K78" s="305">
        <f>'2020 RW by County'!G78</f>
        <v>1.2780000000000002</v>
      </c>
      <c r="L78" s="304">
        <f>'2020 RW by County'!H78</f>
        <v>0</v>
      </c>
      <c r="M78" s="316">
        <f>'2020 RW by County'!K78</f>
        <v>0</v>
      </c>
      <c r="N78" s="315">
        <f t="shared" si="54"/>
        <v>1.6680205468523637</v>
      </c>
      <c r="O78" s="304">
        <f t="shared" si="39"/>
        <v>1.2510154101392728</v>
      </c>
      <c r="P78" s="342">
        <v>0</v>
      </c>
      <c r="Q78" s="315">
        <f t="shared" si="73"/>
        <v>2.9180205468523637</v>
      </c>
      <c r="R78" s="304">
        <f t="shared" si="74"/>
        <v>0</v>
      </c>
      <c r="S78" s="316">
        <f t="shared" si="75"/>
        <v>2.529015410139273</v>
      </c>
    </row>
    <row r="79" spans="1:19" ht="12" thickBot="1" x14ac:dyDescent="0.25">
      <c r="A79" s="726"/>
      <c r="B79" s="432" t="s">
        <v>499</v>
      </c>
      <c r="C79" s="412" t="s">
        <v>501</v>
      </c>
      <c r="D79" s="413" t="s">
        <v>501</v>
      </c>
      <c r="E79" s="413" t="s">
        <v>501</v>
      </c>
      <c r="F79" s="413" t="s">
        <v>501</v>
      </c>
      <c r="G79" s="413" t="s">
        <v>501</v>
      </c>
      <c r="H79" s="414" t="s">
        <v>501</v>
      </c>
      <c r="I79" s="415" t="s">
        <v>501</v>
      </c>
      <c r="J79" s="399">
        <f>'2020 RW by County'!F79</f>
        <v>4.0599999999999996</v>
      </c>
      <c r="K79" s="400">
        <f>'2020 RW by County'!G79</f>
        <v>0.01</v>
      </c>
      <c r="L79" s="401">
        <f>'2020 RW by County'!H79</f>
        <v>0</v>
      </c>
      <c r="M79" s="402">
        <f>'2020 RW by County'!K79</f>
        <v>4.05</v>
      </c>
      <c r="N79" s="399" t="s">
        <v>501</v>
      </c>
      <c r="O79" s="401" t="s">
        <v>501</v>
      </c>
      <c r="P79" s="403">
        <v>0</v>
      </c>
      <c r="Q79" s="399">
        <f t="shared" ref="Q79" si="92">J79</f>
        <v>4.0599999999999996</v>
      </c>
      <c r="R79" s="401">
        <f t="shared" si="74"/>
        <v>0</v>
      </c>
      <c r="S79" s="402">
        <f t="shared" ref="S79" si="93">K79+P79</f>
        <v>0.01</v>
      </c>
    </row>
    <row r="80" spans="1:19" s="284" customFormat="1" ht="12.75" thickTop="1" thickBot="1" x14ac:dyDescent="0.25">
      <c r="A80" s="728"/>
      <c r="B80" s="404" t="s">
        <v>364</v>
      </c>
      <c r="C80" s="405">
        <f>SUM(C50:C79)</f>
        <v>481868.61058486963</v>
      </c>
      <c r="D80" s="406">
        <f t="shared" ref="D80:P80" si="94">SUM(D50:D79)</f>
        <v>674149.78810313472</v>
      </c>
      <c r="E80" s="406">
        <f t="shared" si="94"/>
        <v>106843.32969792992</v>
      </c>
      <c r="F80" s="406">
        <f t="shared" si="94"/>
        <v>120467.32224613713</v>
      </c>
      <c r="G80" s="406">
        <f t="shared" ref="G80" si="95">SUM(G50:G79)</f>
        <v>375025.28088693984</v>
      </c>
      <c r="H80" s="407">
        <f t="shared" ref="H80" si="96">SUM(H50:H79)</f>
        <v>553682.46585699776</v>
      </c>
      <c r="I80" s="389">
        <f t="shared" si="91"/>
        <v>178657.18497005792</v>
      </c>
      <c r="J80" s="408">
        <f t="shared" si="94"/>
        <v>34.950000000000003</v>
      </c>
      <c r="K80" s="409">
        <f t="shared" si="94"/>
        <v>27.364000000000001</v>
      </c>
      <c r="L80" s="409">
        <f t="shared" si="94"/>
        <v>1.31</v>
      </c>
      <c r="M80" s="410">
        <f t="shared" si="94"/>
        <v>8.879999999999999</v>
      </c>
      <c r="N80" s="408">
        <f t="shared" si="94"/>
        <v>12.389875777673524</v>
      </c>
      <c r="O80" s="409">
        <f t="shared" si="94"/>
        <v>9.2924068332551464</v>
      </c>
      <c r="P80" s="411">
        <f t="shared" si="94"/>
        <v>0</v>
      </c>
      <c r="Q80" s="408">
        <f t="shared" ref="Q80" si="97">SUM(Q50:Q79)</f>
        <v>47.339875777673527</v>
      </c>
      <c r="R80" s="409">
        <f t="shared" ref="R80" si="98">SUM(R50:R79)</f>
        <v>1.31</v>
      </c>
      <c r="S80" s="411">
        <f t="shared" ref="S80" si="99">SUM(S50:S79)</f>
        <v>36.65640683325514</v>
      </c>
    </row>
    <row r="81" spans="1:23" s="284" customFormat="1" ht="12" thickBot="1" x14ac:dyDescent="0.25">
      <c r="A81" s="716" t="s">
        <v>413</v>
      </c>
      <c r="B81" s="717"/>
      <c r="C81" s="379">
        <f>C80+C49</f>
        <v>483353.41167569964</v>
      </c>
      <c r="D81" s="294">
        <f t="shared" ref="D81:P81" si="100">D80+D49</f>
        <v>675652.32066098473</v>
      </c>
      <c r="E81" s="294">
        <f t="shared" si="100"/>
        <v>106843.32969792992</v>
      </c>
      <c r="F81" s="294">
        <f t="shared" si="100"/>
        <v>120467.32224613713</v>
      </c>
      <c r="G81" s="294">
        <f t="shared" si="100"/>
        <v>376510.08197776985</v>
      </c>
      <c r="H81" s="380">
        <f t="shared" si="100"/>
        <v>555184.99841484777</v>
      </c>
      <c r="I81" s="326">
        <f t="shared" si="91"/>
        <v>178674.91643707792</v>
      </c>
      <c r="J81" s="381">
        <f t="shared" si="100"/>
        <v>37.752400000000002</v>
      </c>
      <c r="K81" s="382">
        <f t="shared" si="100"/>
        <v>29.462900000000001</v>
      </c>
      <c r="L81" s="382">
        <f t="shared" si="100"/>
        <v>1.31</v>
      </c>
      <c r="M81" s="383">
        <f t="shared" si="100"/>
        <v>9.1129999999999995</v>
      </c>
      <c r="N81" s="381">
        <f t="shared" si="100"/>
        <v>12.391105454911362</v>
      </c>
      <c r="O81" s="382">
        <f t="shared" si="100"/>
        <v>9.2933290911835247</v>
      </c>
      <c r="P81" s="384">
        <f t="shared" si="100"/>
        <v>0</v>
      </c>
      <c r="Q81" s="381">
        <f t="shared" ref="Q81" si="101">Q80+Q49</f>
        <v>50.143505454911363</v>
      </c>
      <c r="R81" s="382">
        <f t="shared" ref="R81" si="102">R80+R49</f>
        <v>1.31</v>
      </c>
      <c r="S81" s="384">
        <f t="shared" ref="S81" si="103">S80+S49</f>
        <v>38.756229091183521</v>
      </c>
    </row>
    <row r="82" spans="1:23" x14ac:dyDescent="0.2">
      <c r="A82" s="720" t="s">
        <v>466</v>
      </c>
      <c r="B82" s="356" t="s">
        <v>448</v>
      </c>
      <c r="C82" s="368">
        <v>62026.419459857891</v>
      </c>
      <c r="D82" s="369">
        <v>70286.365662070864</v>
      </c>
      <c r="E82" s="369">
        <v>2885.1125509179801</v>
      </c>
      <c r="F82" s="369">
        <v>3025.0642298989801</v>
      </c>
      <c r="G82" s="358">
        <f t="shared" ref="G82:G95" si="104">C82-E82</f>
        <v>59141.306908939907</v>
      </c>
      <c r="H82" s="359">
        <f t="shared" ref="H82:H95" si="105">D82-F82</f>
        <v>67261.30143217188</v>
      </c>
      <c r="I82" s="337">
        <f t="shared" si="91"/>
        <v>8119.9945232319733</v>
      </c>
      <c r="J82" s="338">
        <f>'2020 RW by County'!F82</f>
        <v>7.03</v>
      </c>
      <c r="K82" s="339">
        <f>'2020 RW by County'!G82</f>
        <v>9.1289999999999996</v>
      </c>
      <c r="L82" s="340">
        <f>'2020 RW by County'!H82</f>
        <v>0.35</v>
      </c>
      <c r="M82" s="341">
        <f>'2020 RW by County'!K82</f>
        <v>0</v>
      </c>
      <c r="N82" s="338">
        <f t="shared" si="54"/>
        <v>0.56312162018613732</v>
      </c>
      <c r="O82" s="340">
        <f t="shared" si="39"/>
        <v>0.42234121513960299</v>
      </c>
      <c r="P82" s="366">
        <v>1.85</v>
      </c>
      <c r="Q82" s="338">
        <f t="shared" ref="Q82:Q95" si="106">J82+N82</f>
        <v>7.5931216201861371</v>
      </c>
      <c r="R82" s="340">
        <f t="shared" ref="R82:R95" si="107">L82+P82</f>
        <v>2.2000000000000002</v>
      </c>
      <c r="S82" s="341">
        <f t="shared" ref="S82:S95" si="108">K82+O82+P82</f>
        <v>11.401341215139603</v>
      </c>
    </row>
    <row r="83" spans="1:23" x14ac:dyDescent="0.2">
      <c r="A83" s="721"/>
      <c r="B83" s="328" t="s">
        <v>449</v>
      </c>
      <c r="C83" s="331">
        <v>17828.353129285399</v>
      </c>
      <c r="D83" s="288">
        <v>19367.660070687401</v>
      </c>
      <c r="E83" s="288">
        <v>212.78405257131001</v>
      </c>
      <c r="F83" s="288">
        <v>175</v>
      </c>
      <c r="G83" s="288">
        <f t="shared" si="104"/>
        <v>17615.569076714088</v>
      </c>
      <c r="H83" s="332">
        <f t="shared" si="105"/>
        <v>19192.660070687401</v>
      </c>
      <c r="I83" s="321">
        <f t="shared" si="91"/>
        <v>1577.0909939733137</v>
      </c>
      <c r="J83" s="315">
        <f>'2020 RW by County'!F83</f>
        <v>0.72599999999999998</v>
      </c>
      <c r="K83" s="305">
        <f>'2020 RW by County'!G83</f>
        <v>0.99399999999999999</v>
      </c>
      <c r="L83" s="304">
        <f>'2020 RW by County'!H83</f>
        <v>0.186</v>
      </c>
      <c r="M83" s="316">
        <f>'2020 RW by County'!K83</f>
        <v>0</v>
      </c>
      <c r="N83" s="315">
        <f t="shared" si="54"/>
        <v>0.1093712604320493</v>
      </c>
      <c r="O83" s="304">
        <f t="shared" si="39"/>
        <v>8.2028445324036969E-2</v>
      </c>
      <c r="P83" s="342">
        <v>0.36</v>
      </c>
      <c r="Q83" s="315">
        <f t="shared" si="106"/>
        <v>0.83537126043204923</v>
      </c>
      <c r="R83" s="304">
        <f t="shared" si="107"/>
        <v>0.54600000000000004</v>
      </c>
      <c r="S83" s="316">
        <f t="shared" si="108"/>
        <v>1.4360284453240371</v>
      </c>
    </row>
    <row r="84" spans="1:23" x14ac:dyDescent="0.2">
      <c r="A84" s="721"/>
      <c r="B84" s="327" t="s">
        <v>450</v>
      </c>
      <c r="C84" s="331">
        <v>4984.1223208035999</v>
      </c>
      <c r="D84" s="288">
        <v>6623.6325830789801</v>
      </c>
      <c r="E84" s="288">
        <v>31.322647180499999</v>
      </c>
      <c r="F84" s="288">
        <v>31.21094476715</v>
      </c>
      <c r="G84" s="288">
        <f t="shared" si="104"/>
        <v>4952.7996736230998</v>
      </c>
      <c r="H84" s="332">
        <f t="shared" si="105"/>
        <v>6592.4216383118301</v>
      </c>
      <c r="I84" s="321">
        <f t="shared" si="91"/>
        <v>1639.6219646887303</v>
      </c>
      <c r="J84" s="315">
        <f>'2020 RW by County'!F84</f>
        <v>0.191</v>
      </c>
      <c r="K84" s="305">
        <f>'2020 RW by County'!G84</f>
        <v>0.191</v>
      </c>
      <c r="L84" s="304">
        <f>'2020 RW by County'!H84</f>
        <v>0</v>
      </c>
      <c r="M84" s="316">
        <f>'2020 RW by County'!K84</f>
        <v>0</v>
      </c>
      <c r="N84" s="315">
        <f t="shared" si="54"/>
        <v>0.11370778325116343</v>
      </c>
      <c r="O84" s="304">
        <f t="shared" si="39"/>
        <v>8.5280837438372573E-2</v>
      </c>
      <c r="P84" s="342">
        <v>0</v>
      </c>
      <c r="Q84" s="315">
        <f t="shared" si="106"/>
        <v>0.30470778325116343</v>
      </c>
      <c r="R84" s="304">
        <f t="shared" si="107"/>
        <v>0</v>
      </c>
      <c r="S84" s="316">
        <f t="shared" si="108"/>
        <v>0.27628083743837256</v>
      </c>
    </row>
    <row r="85" spans="1:23" x14ac:dyDescent="0.2">
      <c r="A85" s="721"/>
      <c r="B85" s="327" t="s">
        <v>451</v>
      </c>
      <c r="C85" s="331">
        <v>5999.0330488883601</v>
      </c>
      <c r="D85" s="288">
        <v>6674.4978585961699</v>
      </c>
      <c r="E85" s="288">
        <v>4.7043586368200003</v>
      </c>
      <c r="F85" s="288">
        <v>5.1698988240599997</v>
      </c>
      <c r="G85" s="288">
        <f t="shared" si="104"/>
        <v>5994.3286902515401</v>
      </c>
      <c r="H85" s="332">
        <f t="shared" si="105"/>
        <v>6669.3279597721103</v>
      </c>
      <c r="I85" s="321">
        <f t="shared" si="91"/>
        <v>674.99926952057012</v>
      </c>
      <c r="J85" s="315">
        <f>'2020 RW by County'!F85</f>
        <v>0.38</v>
      </c>
      <c r="K85" s="305">
        <f>'2020 RW by County'!G85</f>
        <v>0.38</v>
      </c>
      <c r="L85" s="304">
        <f>'2020 RW by County'!H85</f>
        <v>0</v>
      </c>
      <c r="M85" s="316">
        <f>'2020 RW by County'!K85</f>
        <v>0</v>
      </c>
      <c r="N85" s="315">
        <f t="shared" si="54"/>
        <v>4.6811199341251539E-2</v>
      </c>
      <c r="O85" s="304">
        <f t="shared" si="39"/>
        <v>3.5108399505938651E-2</v>
      </c>
      <c r="P85" s="342">
        <v>0</v>
      </c>
      <c r="Q85" s="315">
        <f t="shared" si="106"/>
        <v>0.42681119934125156</v>
      </c>
      <c r="R85" s="304">
        <f t="shared" si="107"/>
        <v>0</v>
      </c>
      <c r="S85" s="316">
        <f t="shared" si="108"/>
        <v>0.41510839950593864</v>
      </c>
    </row>
    <row r="86" spans="1:23" ht="22.5" x14ac:dyDescent="0.2">
      <c r="A86" s="721"/>
      <c r="B86" s="327" t="s">
        <v>452</v>
      </c>
      <c r="C86" s="331">
        <v>280223.60712301359</v>
      </c>
      <c r="D86" s="288">
        <v>319043.58979965351</v>
      </c>
      <c r="E86" s="288">
        <v>11455.392657760371</v>
      </c>
      <c r="F86" s="288">
        <v>12041.451164040949</v>
      </c>
      <c r="G86" s="288">
        <f t="shared" si="104"/>
        <v>268768.21446525323</v>
      </c>
      <c r="H86" s="332">
        <f t="shared" si="105"/>
        <v>307002.13863561256</v>
      </c>
      <c r="I86" s="321">
        <f>H86-G86</f>
        <v>38233.924170359329</v>
      </c>
      <c r="J86" s="315">
        <f>'2020 RW by County'!F86</f>
        <v>22.08</v>
      </c>
      <c r="K86" s="305">
        <f>'2020 RW by County'!G86</f>
        <v>20.36</v>
      </c>
      <c r="L86" s="304">
        <f>'2020 RW by County'!H86</f>
        <v>0</v>
      </c>
      <c r="M86" s="316">
        <f>'2020 RW by County'!K86</f>
        <v>2.06</v>
      </c>
      <c r="N86" s="315">
        <f>(I86*0.95)*73/1000000</f>
        <v>2.6515226412144193</v>
      </c>
      <c r="O86" s="304">
        <f t="shared" si="39"/>
        <v>1.9886419809108145</v>
      </c>
      <c r="P86" s="342">
        <v>0</v>
      </c>
      <c r="Q86" s="315">
        <f t="shared" si="106"/>
        <v>24.731522641214418</v>
      </c>
      <c r="R86" s="304">
        <f t="shared" si="107"/>
        <v>0</v>
      </c>
      <c r="S86" s="316">
        <f t="shared" si="108"/>
        <v>22.348641980910813</v>
      </c>
    </row>
    <row r="87" spans="1:23" x14ac:dyDescent="0.2">
      <c r="A87" s="721"/>
      <c r="B87" s="328" t="s">
        <v>453</v>
      </c>
      <c r="C87" s="331">
        <v>21502.806599524301</v>
      </c>
      <c r="D87" s="288">
        <v>24917.2599724389</v>
      </c>
      <c r="E87" s="290">
        <v>0</v>
      </c>
      <c r="F87" s="290">
        <v>0</v>
      </c>
      <c r="G87" s="288">
        <f t="shared" si="104"/>
        <v>21502.806599524301</v>
      </c>
      <c r="H87" s="332">
        <f t="shared" si="105"/>
        <v>24917.2599724389</v>
      </c>
      <c r="I87" s="321">
        <f t="shared" si="91"/>
        <v>3414.4533729145987</v>
      </c>
      <c r="J87" s="315">
        <f>'2020 RW by County'!F87</f>
        <v>1.7170000000000001</v>
      </c>
      <c r="K87" s="305">
        <f>'2020 RW by County'!G87</f>
        <v>2.2720000000000002</v>
      </c>
      <c r="L87" s="304">
        <f>'2020 RW by County'!H87</f>
        <v>0</v>
      </c>
      <c r="M87" s="316">
        <f>'2020 RW by County'!K87</f>
        <v>0</v>
      </c>
      <c r="N87" s="315">
        <f t="shared" si="54"/>
        <v>0.23679234141162739</v>
      </c>
      <c r="O87" s="304">
        <f t="shared" si="39"/>
        <v>0.17759425605872053</v>
      </c>
      <c r="P87" s="342">
        <v>0</v>
      </c>
      <c r="Q87" s="315">
        <f t="shared" si="106"/>
        <v>1.9537923414116274</v>
      </c>
      <c r="R87" s="304">
        <f t="shared" si="107"/>
        <v>0</v>
      </c>
      <c r="S87" s="316">
        <f t="shared" si="108"/>
        <v>2.4495942560587207</v>
      </c>
    </row>
    <row r="88" spans="1:23" x14ac:dyDescent="0.2">
      <c r="A88" s="721"/>
      <c r="B88" s="328" t="s">
        <v>454</v>
      </c>
      <c r="C88" s="329" t="s">
        <v>501</v>
      </c>
      <c r="D88" s="289" t="s">
        <v>501</v>
      </c>
      <c r="E88" s="289" t="s">
        <v>501</v>
      </c>
      <c r="F88" s="289" t="s">
        <v>501</v>
      </c>
      <c r="G88" s="289" t="s">
        <v>501</v>
      </c>
      <c r="H88" s="330" t="s">
        <v>501</v>
      </c>
      <c r="I88" s="323" t="s">
        <v>501</v>
      </c>
      <c r="J88" s="315">
        <f>'2020 RW by County'!F88</f>
        <v>9.5000000000000001E-2</v>
      </c>
      <c r="K88" s="305">
        <f>'2020 RW by County'!G88</f>
        <v>9.5000000000000001E-2</v>
      </c>
      <c r="L88" s="304">
        <f>'2020 RW by County'!H88</f>
        <v>0</v>
      </c>
      <c r="M88" s="316">
        <f>'2020 RW by County'!K88</f>
        <v>0</v>
      </c>
      <c r="N88" s="315" t="s">
        <v>501</v>
      </c>
      <c r="O88" s="304" t="s">
        <v>501</v>
      </c>
      <c r="P88" s="342">
        <v>0</v>
      </c>
      <c r="Q88" s="315">
        <f t="shared" ref="Q88" si="109">J88</f>
        <v>9.5000000000000001E-2</v>
      </c>
      <c r="R88" s="304">
        <f t="shared" si="107"/>
        <v>0</v>
      </c>
      <c r="S88" s="316">
        <f t="shared" ref="S88" si="110">K88+P88</f>
        <v>9.5000000000000001E-2</v>
      </c>
      <c r="W88" s="279" t="s">
        <v>405</v>
      </c>
    </row>
    <row r="89" spans="1:23" x14ac:dyDescent="0.2">
      <c r="A89" s="721"/>
      <c r="B89" s="327" t="s">
        <v>455</v>
      </c>
      <c r="C89" s="331">
        <v>79192.307714765178</v>
      </c>
      <c r="D89" s="288">
        <v>113660.98778527137</v>
      </c>
      <c r="E89" s="288">
        <v>7378.5305127751699</v>
      </c>
      <c r="F89" s="288">
        <v>7844.5777416680803</v>
      </c>
      <c r="G89" s="288">
        <f t="shared" si="104"/>
        <v>71813.777201990015</v>
      </c>
      <c r="H89" s="332">
        <f t="shared" si="105"/>
        <v>105816.41004360329</v>
      </c>
      <c r="I89" s="321">
        <f>H89-G89</f>
        <v>34002.632841613275</v>
      </c>
      <c r="J89" s="315">
        <f>'2020 RW by County'!F89</f>
        <v>5.819</v>
      </c>
      <c r="K89" s="305">
        <f>'2020 RW by County'!G89</f>
        <v>6.9959999999999996</v>
      </c>
      <c r="L89" s="304">
        <f>'2020 RW by County'!H89</f>
        <v>0.21</v>
      </c>
      <c r="M89" s="316">
        <f>'2020 RW by County'!K89</f>
        <v>0</v>
      </c>
      <c r="N89" s="315">
        <f>(I89*0.95)*73/1000000</f>
        <v>2.3580825875658804</v>
      </c>
      <c r="O89" s="304">
        <f t="shared" si="39"/>
        <v>1.7685619406744104</v>
      </c>
      <c r="P89" s="342">
        <v>2</v>
      </c>
      <c r="Q89" s="315">
        <f t="shared" si="106"/>
        <v>8.1770825875658808</v>
      </c>
      <c r="R89" s="304">
        <f t="shared" si="107"/>
        <v>2.21</v>
      </c>
      <c r="S89" s="316">
        <f t="shared" si="108"/>
        <v>10.76456194067441</v>
      </c>
    </row>
    <row r="90" spans="1:23" x14ac:dyDescent="0.2">
      <c r="A90" s="721"/>
      <c r="B90" s="327" t="s">
        <v>456</v>
      </c>
      <c r="C90" s="329" t="s">
        <v>501</v>
      </c>
      <c r="D90" s="289" t="s">
        <v>501</v>
      </c>
      <c r="E90" s="289" t="s">
        <v>501</v>
      </c>
      <c r="F90" s="289" t="s">
        <v>501</v>
      </c>
      <c r="G90" s="289" t="s">
        <v>501</v>
      </c>
      <c r="H90" s="330" t="s">
        <v>501</v>
      </c>
      <c r="I90" s="323" t="s">
        <v>501</v>
      </c>
      <c r="J90" s="315">
        <f>'2020 RW by County'!F90</f>
        <v>1.516</v>
      </c>
      <c r="K90" s="305">
        <f>'2020 RW by County'!G90</f>
        <v>0</v>
      </c>
      <c r="L90" s="304">
        <f>'2020 RW by County'!H90</f>
        <v>0</v>
      </c>
      <c r="M90" s="316">
        <f>'2020 RW by County'!K90</f>
        <v>0</v>
      </c>
      <c r="N90" s="315" t="s">
        <v>501</v>
      </c>
      <c r="O90" s="304" t="s">
        <v>501</v>
      </c>
      <c r="P90" s="342">
        <v>0</v>
      </c>
      <c r="Q90" s="315">
        <f t="shared" ref="Q90" si="111">J90</f>
        <v>1.516</v>
      </c>
      <c r="R90" s="304">
        <f t="shared" ref="R90" si="112">L90+P90</f>
        <v>0</v>
      </c>
      <c r="S90" s="316">
        <f t="shared" ref="S90" si="113">K90+P90</f>
        <v>0</v>
      </c>
    </row>
    <row r="91" spans="1:23" ht="22.5" x14ac:dyDescent="0.2">
      <c r="A91" s="721"/>
      <c r="B91" s="328" t="s">
        <v>457</v>
      </c>
      <c r="C91" s="331">
        <v>35945.533467202396</v>
      </c>
      <c r="D91" s="288">
        <v>56998.245245441503</v>
      </c>
      <c r="E91" s="288">
        <v>3091.23734569608</v>
      </c>
      <c r="F91" s="288">
        <v>3816.3210203164599</v>
      </c>
      <c r="G91" s="288">
        <f t="shared" si="104"/>
        <v>32854.296121506319</v>
      </c>
      <c r="H91" s="332">
        <f t="shared" si="105"/>
        <v>53181.92422512504</v>
      </c>
      <c r="I91" s="321">
        <f>H91-G91</f>
        <v>20327.628103618721</v>
      </c>
      <c r="J91" s="315">
        <f>'2020 RW by County'!F91</f>
        <v>2.3199999999999998</v>
      </c>
      <c r="K91" s="305">
        <f>'2020 RW by County'!G91</f>
        <v>4.774</v>
      </c>
      <c r="L91" s="304">
        <f>'2020 RW by County'!H91</f>
        <v>0.127</v>
      </c>
      <c r="M91" s="316">
        <f>'2020 RW by County'!K91</f>
        <v>0</v>
      </c>
      <c r="N91" s="315">
        <f>(I91*0.95)*73/1000000</f>
        <v>1.409721008985958</v>
      </c>
      <c r="O91" s="304">
        <f t="shared" si="39"/>
        <v>1.0572907567394685</v>
      </c>
      <c r="P91" s="342">
        <v>0</v>
      </c>
      <c r="Q91" s="315">
        <f t="shared" si="106"/>
        <v>3.7297210089859578</v>
      </c>
      <c r="R91" s="304">
        <f t="shared" si="107"/>
        <v>0.127</v>
      </c>
      <c r="S91" s="316">
        <f t="shared" si="108"/>
        <v>5.8312907567394685</v>
      </c>
    </row>
    <row r="92" spans="1:23" ht="22.5" x14ac:dyDescent="0.2">
      <c r="A92" s="721"/>
      <c r="B92" s="328" t="s">
        <v>458</v>
      </c>
      <c r="C92" s="331">
        <v>19668.698058555299</v>
      </c>
      <c r="D92" s="288">
        <v>24453.732295288599</v>
      </c>
      <c r="E92" s="288">
        <v>975.85387741095997</v>
      </c>
      <c r="F92" s="288">
        <v>1640.61859821144</v>
      </c>
      <c r="G92" s="288">
        <f t="shared" si="104"/>
        <v>18692.844181144341</v>
      </c>
      <c r="H92" s="332">
        <f t="shared" si="105"/>
        <v>22813.113697077159</v>
      </c>
      <c r="I92" s="321">
        <f t="shared" si="91"/>
        <v>4120.2695159328177</v>
      </c>
      <c r="J92" s="315">
        <f>'2020 RW by County'!F92</f>
        <v>2.2709999999999999</v>
      </c>
      <c r="K92" s="305">
        <f>'2020 RW by County'!G92</f>
        <v>0</v>
      </c>
      <c r="L92" s="304">
        <f>'2020 RW by County'!H92</f>
        <v>0</v>
      </c>
      <c r="M92" s="316">
        <f>'2020 RW by County'!K92</f>
        <v>0</v>
      </c>
      <c r="N92" s="315">
        <f t="shared" si="54"/>
        <v>0.28574069092994092</v>
      </c>
      <c r="O92" s="304">
        <f t="shared" si="39"/>
        <v>0.21430551819745569</v>
      </c>
      <c r="P92" s="342">
        <v>0</v>
      </c>
      <c r="Q92" s="315">
        <f t="shared" si="106"/>
        <v>2.5567406909299408</v>
      </c>
      <c r="R92" s="304">
        <f t="shared" si="107"/>
        <v>0</v>
      </c>
      <c r="S92" s="316">
        <f t="shared" si="108"/>
        <v>0.21430551819745569</v>
      </c>
    </row>
    <row r="93" spans="1:23" x14ac:dyDescent="0.2">
      <c r="A93" s="721"/>
      <c r="B93" s="328" t="s">
        <v>459</v>
      </c>
      <c r="C93" s="331">
        <v>37866.544417021069</v>
      </c>
      <c r="D93" s="288">
        <v>41408.112814904125</v>
      </c>
      <c r="E93" s="288">
        <v>2303.1757809609599</v>
      </c>
      <c r="F93" s="288">
        <v>2304.72271515377</v>
      </c>
      <c r="G93" s="288">
        <f t="shared" si="104"/>
        <v>35563.368636060106</v>
      </c>
      <c r="H93" s="332">
        <f t="shared" si="105"/>
        <v>39103.390099750352</v>
      </c>
      <c r="I93" s="321">
        <f t="shared" si="91"/>
        <v>3540.0214636902456</v>
      </c>
      <c r="J93" s="315">
        <f>'2020 RW by County'!F93</f>
        <v>1.9810000000000001</v>
      </c>
      <c r="K93" s="305">
        <f>'2020 RW by County'!G93</f>
        <v>1.9089999999999998</v>
      </c>
      <c r="L93" s="304">
        <f>'2020 RW by County'!H93</f>
        <v>0</v>
      </c>
      <c r="M93" s="316">
        <f>'2020 RW by County'!K93</f>
        <v>7.4999999999999997E-2</v>
      </c>
      <c r="N93" s="315">
        <f t="shared" si="54"/>
        <v>0.24550048850691855</v>
      </c>
      <c r="O93" s="304">
        <f t="shared" si="39"/>
        <v>0.18412536638018892</v>
      </c>
      <c r="P93" s="342">
        <v>0</v>
      </c>
      <c r="Q93" s="315">
        <f>J93+N93</f>
        <v>2.2265004885069186</v>
      </c>
      <c r="R93" s="304">
        <f t="shared" si="107"/>
        <v>0</v>
      </c>
      <c r="S93" s="316">
        <f t="shared" si="108"/>
        <v>2.0931253663801885</v>
      </c>
    </row>
    <row r="94" spans="1:23" ht="22.5" x14ac:dyDescent="0.2">
      <c r="A94" s="721"/>
      <c r="B94" s="327" t="s">
        <v>460</v>
      </c>
      <c r="C94" s="329" t="s">
        <v>501</v>
      </c>
      <c r="D94" s="289" t="s">
        <v>501</v>
      </c>
      <c r="E94" s="289" t="s">
        <v>501</v>
      </c>
      <c r="F94" s="289" t="s">
        <v>501</v>
      </c>
      <c r="G94" s="289" t="s">
        <v>501</v>
      </c>
      <c r="H94" s="330" t="s">
        <v>501</v>
      </c>
      <c r="I94" s="323" t="s">
        <v>501</v>
      </c>
      <c r="J94" s="315">
        <f>'2020 RW by County'!F94</f>
        <v>1.194</v>
      </c>
      <c r="K94" s="305">
        <f>'2020 RW by County'!G94</f>
        <v>1.1940000000000002</v>
      </c>
      <c r="L94" s="304">
        <f>'2020 RW by County'!H94</f>
        <v>0</v>
      </c>
      <c r="M94" s="316">
        <f>'2020 RW by County'!K94</f>
        <v>0</v>
      </c>
      <c r="N94" s="315" t="s">
        <v>501</v>
      </c>
      <c r="O94" s="304" t="s">
        <v>501</v>
      </c>
      <c r="P94" s="342">
        <v>0.02</v>
      </c>
      <c r="Q94" s="315">
        <f t="shared" ref="Q94" si="114">J94</f>
        <v>1.194</v>
      </c>
      <c r="R94" s="304">
        <f t="shared" si="107"/>
        <v>0.02</v>
      </c>
      <c r="S94" s="316">
        <f t="shared" ref="S94" si="115">K94+P94</f>
        <v>1.2140000000000002</v>
      </c>
    </row>
    <row r="95" spans="1:23" ht="23.25" thickBot="1" x14ac:dyDescent="0.25">
      <c r="A95" s="721"/>
      <c r="B95" s="394" t="s">
        <v>461</v>
      </c>
      <c r="C95" s="395">
        <v>34425.660817362397</v>
      </c>
      <c r="D95" s="396">
        <v>40943.285687593198</v>
      </c>
      <c r="E95" s="396">
        <v>1246.43772162662</v>
      </c>
      <c r="F95" s="396">
        <v>1251.22362989047</v>
      </c>
      <c r="G95" s="396">
        <f t="shared" si="104"/>
        <v>33179.223095735775</v>
      </c>
      <c r="H95" s="397">
        <f t="shared" si="105"/>
        <v>39692.062057702729</v>
      </c>
      <c r="I95" s="398">
        <f t="shared" si="91"/>
        <v>6512.8389619669542</v>
      </c>
      <c r="J95" s="399">
        <f>'2020 RW by County'!F95</f>
        <v>1.093</v>
      </c>
      <c r="K95" s="400">
        <f>'2020 RW by County'!G95</f>
        <v>1.093</v>
      </c>
      <c r="L95" s="401">
        <f>'2020 RW by County'!H95</f>
        <v>0</v>
      </c>
      <c r="M95" s="402">
        <f>'2020 RW by County'!K95</f>
        <v>0</v>
      </c>
      <c r="N95" s="399">
        <f t="shared" si="54"/>
        <v>0.4516653820124083</v>
      </c>
      <c r="O95" s="401">
        <f t="shared" si="39"/>
        <v>0.33874903650930621</v>
      </c>
      <c r="P95" s="403">
        <v>0</v>
      </c>
      <c r="Q95" s="399">
        <f t="shared" si="106"/>
        <v>1.5446653820124083</v>
      </c>
      <c r="R95" s="401">
        <f t="shared" si="107"/>
        <v>0</v>
      </c>
      <c r="S95" s="402">
        <f t="shared" si="108"/>
        <v>1.4317490365093062</v>
      </c>
    </row>
    <row r="96" spans="1:23" s="284" customFormat="1" ht="12.75" thickTop="1" thickBot="1" x14ac:dyDescent="0.25">
      <c r="A96" s="722"/>
      <c r="B96" s="385" t="s">
        <v>366</v>
      </c>
      <c r="C96" s="386">
        <f>SUM(C82:C95)</f>
        <v>599663.08615627943</v>
      </c>
      <c r="D96" s="387">
        <f t="shared" ref="D96:P96" si="116">SUM(D82:D95)</f>
        <v>724377.36977502459</v>
      </c>
      <c r="E96" s="387">
        <f t="shared" si="116"/>
        <v>29584.551505536769</v>
      </c>
      <c r="F96" s="387">
        <f t="shared" si="116"/>
        <v>32135.359942771356</v>
      </c>
      <c r="G96" s="387">
        <f t="shared" si="116"/>
        <v>570078.53465074266</v>
      </c>
      <c r="H96" s="388">
        <f t="shared" si="116"/>
        <v>692242.00983225321</v>
      </c>
      <c r="I96" s="389">
        <f t="shared" si="91"/>
        <v>122163.47518151056</v>
      </c>
      <c r="J96" s="390">
        <f t="shared" si="116"/>
        <v>48.412999999999997</v>
      </c>
      <c r="K96" s="391">
        <f t="shared" si="116"/>
        <v>49.387</v>
      </c>
      <c r="L96" s="391">
        <f t="shared" si="116"/>
        <v>0.873</v>
      </c>
      <c r="M96" s="392">
        <f t="shared" si="116"/>
        <v>2.1350000000000002</v>
      </c>
      <c r="N96" s="390">
        <f t="shared" si="116"/>
        <v>8.4720370038377535</v>
      </c>
      <c r="O96" s="391">
        <f t="shared" si="116"/>
        <v>6.3540277528783164</v>
      </c>
      <c r="P96" s="393">
        <f t="shared" si="116"/>
        <v>4.2299999999999995</v>
      </c>
      <c r="Q96" s="390">
        <f t="shared" ref="Q96" si="117">SUM(Q82:Q95)</f>
        <v>56.885037003837759</v>
      </c>
      <c r="R96" s="391">
        <f t="shared" ref="R96" si="118">SUM(R82:R95)</f>
        <v>5.1029999999999998</v>
      </c>
      <c r="S96" s="393">
        <f t="shared" ref="S96" si="119">SUM(S82:S95)</f>
        <v>59.971027752878321</v>
      </c>
    </row>
    <row r="97" spans="1:19" x14ac:dyDescent="0.2">
      <c r="A97" s="710" t="s">
        <v>406</v>
      </c>
      <c r="B97" s="711"/>
      <c r="C97" s="334">
        <f>C21+C43+C49</f>
        <v>760247.7926688795</v>
      </c>
      <c r="D97" s="296">
        <f t="shared" ref="D97:P97" si="120">D21+D43+D49</f>
        <v>1285093.7051899014</v>
      </c>
      <c r="E97" s="296">
        <f t="shared" si="120"/>
        <v>25558.5795282787</v>
      </c>
      <c r="F97" s="296">
        <f t="shared" si="120"/>
        <v>31856.510851552379</v>
      </c>
      <c r="G97" s="296">
        <f t="shared" si="120"/>
        <v>734689.21314060083</v>
      </c>
      <c r="H97" s="297">
        <f t="shared" si="120"/>
        <v>1253237.1943383489</v>
      </c>
      <c r="I97" s="325">
        <f t="shared" si="91"/>
        <v>518547.9811977481</v>
      </c>
      <c r="J97" s="318">
        <f t="shared" si="120"/>
        <v>85.115399999999994</v>
      </c>
      <c r="K97" s="300">
        <f t="shared" si="120"/>
        <v>94.620400000000004</v>
      </c>
      <c r="L97" s="300">
        <f t="shared" si="120"/>
        <v>4.8520000000000003</v>
      </c>
      <c r="M97" s="310">
        <f t="shared" si="120"/>
        <v>0.50700000000000001</v>
      </c>
      <c r="N97" s="318">
        <f t="shared" si="120"/>
        <v>35.96130249606383</v>
      </c>
      <c r="O97" s="300">
        <f t="shared" ref="O97" si="121">O21+O43+O49</f>
        <v>26.970976872047867</v>
      </c>
      <c r="P97" s="306">
        <f t="shared" si="120"/>
        <v>10.426000000000005</v>
      </c>
      <c r="Q97" s="318">
        <f t="shared" ref="Q97:S97" si="122">Q21+Q43+Q49</f>
        <v>121.07670249606382</v>
      </c>
      <c r="R97" s="300">
        <f t="shared" si="122"/>
        <v>15.278000000000009</v>
      </c>
      <c r="S97" s="306">
        <f t="shared" si="122"/>
        <v>132.01737687204786</v>
      </c>
    </row>
    <row r="98" spans="1:19" x14ac:dyDescent="0.2">
      <c r="A98" s="712" t="s">
        <v>407</v>
      </c>
      <c r="B98" s="713"/>
      <c r="C98" s="335">
        <f>C5+C15+C32+C96</f>
        <v>1510731.3221779331</v>
      </c>
      <c r="D98" s="291">
        <f t="shared" ref="D98:P98" si="123">D5+D15+D32+D96</f>
        <v>2055839.8531955951</v>
      </c>
      <c r="E98" s="291">
        <f t="shared" si="123"/>
        <v>101013.82553014753</v>
      </c>
      <c r="F98" s="291">
        <f t="shared" si="123"/>
        <v>109229.78459870449</v>
      </c>
      <c r="G98" s="291">
        <f t="shared" si="123"/>
        <v>1409717.4966477857</v>
      </c>
      <c r="H98" s="298">
        <f t="shared" si="123"/>
        <v>1946610.0685968904</v>
      </c>
      <c r="I98" s="322">
        <f t="shared" si="91"/>
        <v>536892.57194910478</v>
      </c>
      <c r="J98" s="319">
        <f t="shared" si="123"/>
        <v>93.458999999999989</v>
      </c>
      <c r="K98" s="301">
        <f t="shared" si="123"/>
        <v>106.30200000000001</v>
      </c>
      <c r="L98" s="301">
        <f t="shared" si="123"/>
        <v>5.7380000000000004</v>
      </c>
      <c r="M98" s="311">
        <f t="shared" si="123"/>
        <v>3.0290000000000004</v>
      </c>
      <c r="N98" s="319">
        <f t="shared" si="123"/>
        <v>37.233499864670421</v>
      </c>
      <c r="O98" s="301">
        <f t="shared" ref="O98" si="124">O5+O15+O32+O96</f>
        <v>27.925124898502816</v>
      </c>
      <c r="P98" s="307">
        <f t="shared" si="123"/>
        <v>4.2299999999999995</v>
      </c>
      <c r="Q98" s="319">
        <f t="shared" ref="Q98:S98" si="125">Q5+Q15+Q32+Q96</f>
        <v>130.69249986467042</v>
      </c>
      <c r="R98" s="301">
        <f t="shared" si="125"/>
        <v>9.968</v>
      </c>
      <c r="S98" s="307">
        <f t="shared" si="125"/>
        <v>138.45712489850283</v>
      </c>
    </row>
    <row r="99" spans="1:19" ht="12" thickBot="1" x14ac:dyDescent="0.25">
      <c r="A99" s="718" t="s">
        <v>408</v>
      </c>
      <c r="B99" s="719"/>
      <c r="C99" s="333">
        <f>C80</f>
        <v>481868.61058486963</v>
      </c>
      <c r="D99" s="292">
        <f t="shared" ref="D99:P99" si="126">D80</f>
        <v>674149.78810313472</v>
      </c>
      <c r="E99" s="292">
        <f t="shared" si="126"/>
        <v>106843.32969792992</v>
      </c>
      <c r="F99" s="292">
        <f t="shared" si="126"/>
        <v>120467.32224613713</v>
      </c>
      <c r="G99" s="292">
        <f t="shared" si="126"/>
        <v>375025.28088693984</v>
      </c>
      <c r="H99" s="299">
        <f t="shared" si="126"/>
        <v>553682.46585699776</v>
      </c>
      <c r="I99" s="324">
        <f t="shared" si="91"/>
        <v>178657.18497005792</v>
      </c>
      <c r="J99" s="317">
        <f t="shared" si="126"/>
        <v>34.950000000000003</v>
      </c>
      <c r="K99" s="302">
        <f t="shared" si="126"/>
        <v>27.364000000000001</v>
      </c>
      <c r="L99" s="302">
        <f t="shared" si="126"/>
        <v>1.31</v>
      </c>
      <c r="M99" s="312">
        <f t="shared" si="126"/>
        <v>8.879999999999999</v>
      </c>
      <c r="N99" s="317">
        <f t="shared" si="126"/>
        <v>12.389875777673524</v>
      </c>
      <c r="O99" s="302">
        <f t="shared" ref="O99" si="127">O80</f>
        <v>9.2924068332551464</v>
      </c>
      <c r="P99" s="308">
        <f t="shared" si="126"/>
        <v>0</v>
      </c>
      <c r="Q99" s="317">
        <f t="shared" ref="Q99:S99" si="128">Q80</f>
        <v>47.339875777673527</v>
      </c>
      <c r="R99" s="302">
        <f t="shared" si="128"/>
        <v>1.31</v>
      </c>
      <c r="S99" s="308">
        <f t="shared" si="128"/>
        <v>36.65640683325514</v>
      </c>
    </row>
    <row r="100" spans="1:19" ht="12" thickBot="1" x14ac:dyDescent="0.25">
      <c r="A100" s="716" t="s">
        <v>380</v>
      </c>
      <c r="B100" s="717"/>
      <c r="C100" s="336">
        <f>SUM(C97:C99)</f>
        <v>2752847.7254316821</v>
      </c>
      <c r="D100" s="293">
        <f t="shared" ref="D100:P100" si="129">SUM(D97:D99)</f>
        <v>4015083.3464886313</v>
      </c>
      <c r="E100" s="293">
        <f t="shared" si="129"/>
        <v>233415.73475635616</v>
      </c>
      <c r="F100" s="293">
        <f t="shared" si="129"/>
        <v>261553.61769639401</v>
      </c>
      <c r="G100" s="293">
        <f t="shared" si="129"/>
        <v>2519431.9906753264</v>
      </c>
      <c r="H100" s="295">
        <f t="shared" si="129"/>
        <v>3753529.7287922371</v>
      </c>
      <c r="I100" s="326">
        <f t="shared" si="91"/>
        <v>1234097.7381169107</v>
      </c>
      <c r="J100" s="320">
        <f t="shared" si="129"/>
        <v>213.52439999999996</v>
      </c>
      <c r="K100" s="303">
        <f t="shared" si="129"/>
        <v>228.28640000000001</v>
      </c>
      <c r="L100" s="303">
        <f t="shared" si="129"/>
        <v>11.9</v>
      </c>
      <c r="M100" s="313">
        <f t="shared" si="129"/>
        <v>12.416</v>
      </c>
      <c r="N100" s="320">
        <f t="shared" si="129"/>
        <v>85.584678138407781</v>
      </c>
      <c r="O100" s="303">
        <f t="shared" si="129"/>
        <v>64.188508603805829</v>
      </c>
      <c r="P100" s="309">
        <f t="shared" si="129"/>
        <v>14.656000000000006</v>
      </c>
      <c r="Q100" s="320">
        <f t="shared" ref="Q100" si="130">SUM(Q97:Q99)</f>
        <v>299.10907813840777</v>
      </c>
      <c r="R100" s="303">
        <f t="shared" ref="R100" si="131">SUM(R97:R99)</f>
        <v>26.556000000000008</v>
      </c>
      <c r="S100" s="309">
        <f t="shared" ref="S100" si="132">SUM(S97:S99)</f>
        <v>307.13090860380578</v>
      </c>
    </row>
    <row r="101" spans="1:19" x14ac:dyDescent="0.2">
      <c r="A101" s="594" t="s">
        <v>511</v>
      </c>
      <c r="I101" s="280"/>
    </row>
    <row r="102" spans="1:19" x14ac:dyDescent="0.2">
      <c r="A102" s="185" t="s">
        <v>517</v>
      </c>
      <c r="S102" s="314"/>
    </row>
    <row r="105" spans="1:19" ht="12" thickBot="1" x14ac:dyDescent="0.25">
      <c r="H105" s="283" t="s">
        <v>405</v>
      </c>
    </row>
    <row r="106" spans="1:19" ht="12" thickBot="1" x14ac:dyDescent="0.25">
      <c r="M106" s="699" t="s">
        <v>522</v>
      </c>
      <c r="N106" s="700"/>
      <c r="O106" s="601" t="s">
        <v>520</v>
      </c>
      <c r="P106" s="597" t="s">
        <v>521</v>
      </c>
    </row>
    <row r="107" spans="1:19" x14ac:dyDescent="0.2">
      <c r="M107" s="695" t="s">
        <v>519</v>
      </c>
      <c r="N107" s="696"/>
      <c r="O107" s="602">
        <f>Q100-J100</f>
        <v>85.58467813840781</v>
      </c>
      <c r="P107" s="598">
        <f>O107/J100</f>
        <v>0.40081919508219122</v>
      </c>
    </row>
    <row r="108" spans="1:19" x14ac:dyDescent="0.2">
      <c r="M108" s="697" t="s">
        <v>370</v>
      </c>
      <c r="N108" s="698"/>
      <c r="O108" s="603">
        <f>R100-L100</f>
        <v>14.656000000000008</v>
      </c>
      <c r="P108" s="599">
        <f>O108/L100</f>
        <v>1.2315966386554629</v>
      </c>
    </row>
    <row r="109" spans="1:19" ht="12" thickBot="1" x14ac:dyDescent="0.25">
      <c r="M109" s="692" t="s">
        <v>397</v>
      </c>
      <c r="N109" s="694"/>
      <c r="O109" s="604">
        <f>S100-K100</f>
        <v>78.844508603805764</v>
      </c>
      <c r="P109" s="600">
        <f>O109/K100</f>
        <v>0.34537540827577007</v>
      </c>
    </row>
    <row r="110" spans="1:19" x14ac:dyDescent="0.2">
      <c r="M110" s="701" t="s">
        <v>523</v>
      </c>
      <c r="N110" s="702"/>
      <c r="O110" s="703"/>
      <c r="P110" s="605">
        <f>Q100+R100</f>
        <v>325.66507813840775</v>
      </c>
    </row>
    <row r="111" spans="1:19" ht="12" thickBot="1" x14ac:dyDescent="0.25">
      <c r="M111" s="692" t="s">
        <v>524</v>
      </c>
      <c r="N111" s="693"/>
      <c r="O111" s="694"/>
      <c r="P111" s="606">
        <f>S100/P110</f>
        <v>0.94308824992673934</v>
      </c>
    </row>
    <row r="112" spans="1:19" x14ac:dyDescent="0.2">
      <c r="P112" s="596"/>
    </row>
  </sheetData>
  <sortState xmlns:xlrd2="http://schemas.microsoft.com/office/spreadsheetml/2017/richdata2" ref="B16:C80">
    <sortCondition ref="B16:B80"/>
  </sortState>
  <mergeCells count="29">
    <mergeCell ref="A99:B99"/>
    <mergeCell ref="A100:B100"/>
    <mergeCell ref="A82:A96"/>
    <mergeCell ref="I1:I2"/>
    <mergeCell ref="A3:A5"/>
    <mergeCell ref="A6:A15"/>
    <mergeCell ref="A16:A21"/>
    <mergeCell ref="A22:A32"/>
    <mergeCell ref="A33:B33"/>
    <mergeCell ref="A34:A43"/>
    <mergeCell ref="A44:A49"/>
    <mergeCell ref="A50:A80"/>
    <mergeCell ref="A1:A2"/>
    <mergeCell ref="B1:B2"/>
    <mergeCell ref="C1:D1"/>
    <mergeCell ref="E1:F1"/>
    <mergeCell ref="J1:M1"/>
    <mergeCell ref="N1:P1"/>
    <mergeCell ref="Q1:S1"/>
    <mergeCell ref="A97:B97"/>
    <mergeCell ref="A98:B98"/>
    <mergeCell ref="G1:H1"/>
    <mergeCell ref="A81:B81"/>
    <mergeCell ref="M111:O111"/>
    <mergeCell ref="M107:N107"/>
    <mergeCell ref="M108:N108"/>
    <mergeCell ref="M109:N109"/>
    <mergeCell ref="M106:N106"/>
    <mergeCell ref="M110:O110"/>
  </mergeCells>
  <pageMargins left="0.7" right="0.7" top="0.75" bottom="0.75" header="0.3" footer="0.3"/>
  <pageSetup paperSize="3" scale="93" fitToHeight="0" orientation="landscape" r:id="rId1"/>
  <rowBreaks count="2" manualBreakCount="2">
    <brk id="49" max="16383"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 Old Data by County</vt:lpstr>
      <vt:lpstr>ReadMeInformation</vt:lpstr>
      <vt:lpstr>2020 RW by County</vt:lpstr>
      <vt:lpstr>Appendix A Format (A-13a&amp;b)</vt:lpstr>
      <vt:lpstr>2045 RW Projections (A-13c-f)</vt:lpstr>
      <vt:lpstr>'2045 RW Projections (A-13c-f)'!Print_Area</vt:lpstr>
      <vt:lpstr>'Appendix A Format (A-13a&amp;b)'!Print_Area</vt:lpstr>
      <vt:lpstr>'2020 RW by County'!Print_Titles</vt:lpstr>
      <vt:lpstr>'2045 RW Projections (A-13c-f)'!Print_Titles</vt:lpstr>
      <vt:lpstr>'Appendix A Format (A-13a&amp;b)'!Print_Titles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Catherine M.</dc:creator>
  <cp:lastModifiedBy>Tammy Bader</cp:lastModifiedBy>
  <cp:lastPrinted>2024-05-06T18:40:58Z</cp:lastPrinted>
  <dcterms:created xsi:type="dcterms:W3CDTF">2017-08-29T13:20:43Z</dcterms:created>
  <dcterms:modified xsi:type="dcterms:W3CDTF">2024-05-16T18:23:10Z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